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600" yWindow="1160" windowWidth="31580" windowHeight="18280" activeTab="0"/>
  </bookViews>
  <sheets>
    <sheet name="READ_ME" sheetId="1" r:id="rId1"/>
    <sheet name="Dimen-Integ" sheetId="2" r:id="rId2"/>
    <sheet name="Table 6" sheetId="3" r:id="rId3"/>
    <sheet name="Table 7" sheetId="4" r:id="rId4"/>
  </sheets>
  <definedNames>
    <definedName name="a___">'Dimen-Integ'!$G$15</definedName>
    <definedName name="a___1">'Dimen-Integ'!$O$15</definedName>
    <definedName name="a__1">'Dimen-Integ'!$H$15</definedName>
    <definedName name="a__11">'Dimen-Integ'!$P$15</definedName>
    <definedName name="a__111">'Dimen-Integ'!$R$15</definedName>
    <definedName name="a_1_">'Dimen-Integ'!$I$15</definedName>
    <definedName name="a_1_1">'Dimen-Integ'!$Q$15</definedName>
    <definedName name="a_11">'Dimen-Integ'!$J$15</definedName>
    <definedName name="a_111">'Dimen-Integ'!$N$15</definedName>
    <definedName name="a_1111">'Dimen-Integ'!$V$15</definedName>
    <definedName name="a1__">'Dimen-Integ'!$K$15</definedName>
    <definedName name="a1__1">'Dimen-Integ'!$S$15</definedName>
    <definedName name="a1_1">'Dimen-Integ'!$L$15</definedName>
    <definedName name="a1_11">'Dimen-Integ'!$T$15</definedName>
    <definedName name="a11_">'Dimen-Integ'!$M$15</definedName>
    <definedName name="a11_1">'Dimen-Integ'!$U$15</definedName>
    <definedName name="e_">'Dimen-Integ'!$C$7</definedName>
    <definedName name="e1_">'Dimen-Integ'!$C$10</definedName>
    <definedName name="e2_">'Dimen-Integ'!$C$11</definedName>
    <definedName name="e3_">'Dimen-Integ'!$C$12</definedName>
    <definedName name="e4_">'Dimen-Integ'!$C$13</definedName>
    <definedName name="solver_adj" localSheetId="1" hidden="1">'Dimen-Integ'!$C$10:$C$13,'Dimen-Integ'!$K$15:$N$15,'Dimen-Integ'!$V$15,'Dimen-Integ'!$C$10:$C$13,'Dimen-Integ'!$K$15:$N$15,'Dimen-Integ'!$V$15,'Dimen-Integ'!$O$15</definedName>
    <definedName name="solver_adj" localSheetId="2" hidden="1">'Table 6'!$C$10:$C$13,'Table 6'!$L$15:$N$15,'Table 6'!$V$15</definedName>
    <definedName name="solver_cvg" localSheetId="1" hidden="1">0.00001</definedName>
    <definedName name="solver_cvg" localSheetId="2" hidden="1">0.0001</definedName>
    <definedName name="solver_drv" localSheetId="1" hidden="1">1</definedName>
    <definedName name="solver_drv" localSheetId="2" hidden="1">1</definedName>
    <definedName name="solver_est" localSheetId="1" hidden="1">1</definedName>
    <definedName name="solver_est" localSheetId="2" hidden="1">1</definedName>
    <definedName name="solver_itr" localSheetId="1" hidden="1">1000</definedName>
    <definedName name="solver_itr" localSheetId="2" hidden="1">100</definedName>
    <definedName name="solver_lhs1" localSheetId="1" hidden="1">'Dimen-Integ'!$C$12</definedName>
    <definedName name="solver_lhs2" localSheetId="1" hidden="1">'Dimen-Integ'!$C$10</definedName>
    <definedName name="solver_lhs3" localSheetId="1" hidden="1">'Dimen-Integ'!$C$11</definedName>
    <definedName name="solver_lhs4" localSheetId="1" hidden="1">'Dimen-Integ'!$C$13</definedName>
    <definedName name="solver_lhs5" localSheetId="1" hidden="1">'Dimen-Integ'!$AP$15</definedName>
    <definedName name="solver_lhs6" localSheetId="1" hidden="1">'Dimen-Integ'!$W$15</definedName>
    <definedName name="solver_lhs7" localSheetId="1" hidden="1">'Dimen-Integ'!$W$15</definedName>
    <definedName name="solver_lin" localSheetId="1" hidden="1">2</definedName>
    <definedName name="solver_lin" localSheetId="2" hidden="1">2</definedName>
    <definedName name="solver_neg" localSheetId="1" hidden="1">1</definedName>
    <definedName name="solver_neg" localSheetId="2" hidden="1">2</definedName>
    <definedName name="solver_num" localSheetId="1" hidden="1">6</definedName>
    <definedName name="solver_num" localSheetId="2" hidden="1">0</definedName>
    <definedName name="solver_nwt" localSheetId="1" hidden="1">1</definedName>
    <definedName name="solver_nwt" localSheetId="2" hidden="1">1</definedName>
    <definedName name="solver_opt" localSheetId="1" hidden="1">'Dimen-Integ'!$AV$34</definedName>
    <definedName name="solver_opt" localSheetId="2" hidden="1">'Table 6'!$AV$34</definedName>
    <definedName name="solver_pre" localSheetId="1" hidden="1">0.0000001</definedName>
    <definedName name="solver_pre" localSheetId="2" hidden="1">0.000001</definedName>
    <definedName name="solver_rel1" localSheetId="1" hidden="1">1</definedName>
    <definedName name="solver_rel2" localSheetId="1" hidden="1">1</definedName>
    <definedName name="solver_rel3" localSheetId="1" hidden="1">1</definedName>
    <definedName name="solver_rel4" localSheetId="1" hidden="1">1</definedName>
    <definedName name="solver_rel5" localSheetId="1" hidden="1">2</definedName>
    <definedName name="solver_rel6" localSheetId="1" hidden="1">2</definedName>
    <definedName name="solver_rel7" localSheetId="1" hidden="1">2</definedName>
    <definedName name="solver_rhs1" localSheetId="1" hidden="1">0.5</definedName>
    <definedName name="solver_rhs2" localSheetId="1" hidden="1">0.5</definedName>
    <definedName name="solver_rhs3" localSheetId="1" hidden="1">0.5</definedName>
    <definedName name="solver_rhs4" localSheetId="1" hidden="1">0.5</definedName>
    <definedName name="solver_rhs5" localSheetId="1" hidden="1">1</definedName>
    <definedName name="solver_rhs6" localSheetId="1" hidden="1">1</definedName>
    <definedName name="solver_rhs7" localSheetId="1" hidden="1">1</definedName>
    <definedName name="solver_scl" localSheetId="1" hidden="1">2</definedName>
    <definedName name="solver_scl" localSheetId="2" hidden="1">2</definedName>
    <definedName name="solver_sho" localSheetId="1" hidden="1">2</definedName>
    <definedName name="solver_sho" localSheetId="2" hidden="1">2</definedName>
    <definedName name="solver_tim" localSheetId="1" hidden="1">1000</definedName>
    <definedName name="solver_tim" localSheetId="2" hidden="1">100</definedName>
    <definedName name="solver_tol" localSheetId="1" hidden="1">0.01</definedName>
    <definedName name="solver_tol" localSheetId="2" hidden="1">0.05</definedName>
    <definedName name="solver_typ" localSheetId="1" hidden="1">2</definedName>
    <definedName name="solver_typ" localSheetId="2" hidden="1">1</definedName>
    <definedName name="solver_val" localSheetId="1" hidden="1">0</definedName>
    <definedName name="solver_val" localSheetId="2" hidden="1">0</definedName>
  </definedNames>
  <calcPr fullCalcOnLoad="1"/>
</workbook>
</file>

<file path=xl/sharedStrings.xml><?xml version="1.0" encoding="utf-8"?>
<sst xmlns="http://schemas.openxmlformats.org/spreadsheetml/2006/main" count="2706" uniqueCount="109">
  <si>
    <t>(this should be 1)</t>
  </si>
  <si>
    <t>PATTERNS</t>
  </si>
  <si>
    <t>ONE REP</t>
  </si>
  <si>
    <t xml:space="preserve">This worksheet calculates predictions of a theory of error.  Each choice has an error associated with it. </t>
  </si>
  <si>
    <t>C&gt;B&gt;A&gt;C</t>
  </si>
  <si>
    <t>e4_</t>
  </si>
  <si>
    <t>----</t>
  </si>
  <si>
    <t>---+</t>
  </si>
  <si>
    <t>--+-</t>
  </si>
  <si>
    <t>-+--</t>
  </si>
  <si>
    <t>-++-</t>
  </si>
  <si>
    <t>+---</t>
  </si>
  <si>
    <t>+-+-</t>
  </si>
  <si>
    <t>++--</t>
  </si>
  <si>
    <t>+++-</t>
  </si>
  <si>
    <t>--++</t>
  </si>
  <si>
    <t>-+-+</t>
  </si>
  <si>
    <t>-+++</t>
  </si>
  <si>
    <t>+--+</t>
  </si>
  <si>
    <t>+-++</t>
  </si>
  <si>
    <t>++-+</t>
  </si>
  <si>
    <t>++++</t>
  </si>
  <si>
    <t>SUM</t>
  </si>
  <si>
    <t>Template for testing 4-choice properties</t>
  </si>
  <si>
    <t>ONLY THE FIRST ARRAY IS ACTIVE</t>
  </si>
  <si>
    <t>THIS SPREADSHEET WAS ORIGINALLY DESIGNED TO HANDLE TWO REPLICATIONS__IN THESE EXPERIMENTS THERE IS ONLY ONE REP</t>
  </si>
  <si>
    <t>THIS SHEET IS SET UP TO HANDLE CASES WITH POOLED CELLS</t>
  </si>
  <si>
    <t>This file contains a spreadsheet that can be used to analyze a study with 16 cells using "true and error" model</t>
  </si>
  <si>
    <t>This one is designed to analyze cells with low expected frequency--The Chi-square test is known to give imprecise results when too many cells have low frequencies</t>
  </si>
  <si>
    <t>The spreadsheet was originally designed to handle cases with two replications, but the sheets here fit only the special case of one replication</t>
  </si>
  <si>
    <t>Only the first array in the page, Dimen-Integ, is active.  The others are static copies of results analyzing data from Birnbaum (2010, JMP) article.</t>
  </si>
  <si>
    <t>Data from Tables 4 and 5 are analyzed on the sheet Dimen-Integ.</t>
  </si>
  <si>
    <t>Data from Tables 6 and 7 are shown on separate sheets.</t>
  </si>
  <si>
    <t>Data are from Study 2 of Birnbaum's JMP paper</t>
  </si>
  <si>
    <t>Here are predictions for replicated trials</t>
  </si>
  <si>
    <t>e_</t>
  </si>
  <si>
    <t xml:space="preserve">The model, in full form, uses 4 error rates and 16 probabilities of the 16 possible strings (which sum to 1, meaning 15 df).  Special case models assume that some of these patterns of response do not occur, except by chance. </t>
  </si>
  <si>
    <t>One_Rep_Error</t>
  </si>
  <si>
    <t>Chi-Square</t>
  </si>
  <si>
    <t>R</t>
  </si>
  <si>
    <t>v1</t>
  </si>
  <si>
    <t>v2</t>
  </si>
  <si>
    <t>v3</t>
  </si>
  <si>
    <t>v4</t>
  </si>
  <si>
    <t>v5</t>
  </si>
  <si>
    <t>v6</t>
  </si>
  <si>
    <t>S</t>
  </si>
  <si>
    <t>obs</t>
  </si>
  <si>
    <t>pre</t>
  </si>
  <si>
    <t>There are 15 degrees of freedom in the data</t>
  </si>
  <si>
    <t>By construction, the cell frequencies must sum to the total number of participants.</t>
  </si>
  <si>
    <t>This is the fit of TAX model with 4 error terms and only three non-zero patterns.</t>
  </si>
  <si>
    <t>Generic Model = TAX plus LS</t>
  </si>
  <si>
    <t>Green entries were free in this analysis.</t>
  </si>
  <si>
    <t>Special Case model with a priori TAX pattern fixed to 0.</t>
  </si>
  <si>
    <t>Difference</t>
  </si>
  <si>
    <t>Below are Table 4 Analyses</t>
  </si>
  <si>
    <t>Table 5 Analysis: TAX and LS</t>
  </si>
  <si>
    <t>Pred_&lt;_5</t>
  </si>
  <si>
    <t>SS</t>
  </si>
  <si>
    <t>S_preds</t>
  </si>
  <si>
    <t>Pooled Term</t>
  </si>
  <si>
    <t>S_obtained</t>
  </si>
  <si>
    <t>Degrees</t>
  </si>
  <si>
    <t>Degrees of Freedom</t>
  </si>
  <si>
    <t>Pred_&lt;_4</t>
  </si>
  <si>
    <t>Table 5 Pooled TAX analysis.</t>
  </si>
  <si>
    <t>TABLE 4</t>
  </si>
  <si>
    <t>TABLE 4 LS Model</t>
  </si>
  <si>
    <t>TABLE 5 LS Model (TAX pattern = 0)</t>
  </si>
  <si>
    <t>Table 5 TAX model with 3 cells only</t>
  </si>
  <si>
    <t>TABLE 4-only 3 "true" patterns (</t>
  </si>
  <si>
    <t>TAX</t>
  </si>
  <si>
    <t>Table 6 Full model</t>
  </si>
  <si>
    <t>Table 6 LS</t>
  </si>
  <si>
    <t>Generic Model TABLE 6 with 5 free patterns.</t>
  </si>
  <si>
    <t>Table 7</t>
  </si>
  <si>
    <t>This is the fit of LS Models with 4 free parameters.</t>
  </si>
  <si>
    <t>This is the fit of TAX with 3 free parameters.</t>
  </si>
  <si>
    <t>27, 0, 8, 3, 5, 3, 4, 2, 99, 5, 44, 2, 21, 1, 8, and 10</t>
  </si>
  <si>
    <t>Table 4 pooled Analysis</t>
  </si>
  <si>
    <t xml:space="preserve">This fit assumes only four true patterns.  </t>
  </si>
  <si>
    <t>TABLE 4 pooled</t>
  </si>
  <si>
    <t>CHI-SQ DIFF</t>
  </si>
  <si>
    <t>#7</t>
  </si>
  <si>
    <t>#18</t>
  </si>
  <si>
    <t>#11</t>
  </si>
  <si>
    <t>#8</t>
  </si>
  <si>
    <t>v_7_18_11_8</t>
  </si>
  <si>
    <t>pred</t>
  </si>
  <si>
    <t>OBTAINED</t>
  </si>
  <si>
    <t>PREDICTED</t>
  </si>
  <si>
    <t>Simple Percentages</t>
  </si>
  <si>
    <t>Choice1</t>
  </si>
  <si>
    <t>Choice2</t>
  </si>
  <si>
    <t>Choice3</t>
  </si>
  <si>
    <t>Choice4</t>
  </si>
  <si>
    <t>PRED</t>
  </si>
  <si>
    <t>e1_</t>
  </si>
  <si>
    <t>e2_</t>
  </si>
  <si>
    <t>e3_</t>
  </si>
  <si>
    <t>Probabilities for Two Replicates</t>
  </si>
  <si>
    <t>First Rep</t>
  </si>
  <si>
    <t>Second Rep</t>
  </si>
  <si>
    <t>Repeated</t>
  </si>
  <si>
    <t>First+Second-Repeated</t>
  </si>
  <si>
    <t>check</t>
  </si>
  <si>
    <t>Probabilities of Each of the True Sequences of Response: Some of these will be set to zero to test models that imply that these patterns have zero probability and occur only via error.</t>
  </si>
  <si>
    <t>Prob of Sequence in Both</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</si>
</sst>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00000000"/>
    <numFmt numFmtId="166" formatCode="0.0"/>
    <numFmt numFmtId="167" formatCode="0.000000000000"/>
  </numFmts>
  <fonts count="6">
    <font>
      <sz val="9"/>
      <name val="Geneva"/>
      <family val="0"/>
    </font>
    <font>
      <b/>
      <sz val="9"/>
      <name val="Geneva"/>
      <family val="0"/>
    </font>
    <font>
      <i/>
      <sz val="9"/>
      <name val="Geneva"/>
      <family val="0"/>
    </font>
    <font>
      <b/>
      <i/>
      <sz val="9"/>
      <name val="Geneva"/>
      <family val="0"/>
    </font>
    <font>
      <u val="single"/>
      <sz val="9"/>
      <color indexed="12"/>
      <name val="Geneva"/>
      <family val="0"/>
    </font>
    <font>
      <u val="single"/>
      <sz val="9"/>
      <color indexed="36"/>
      <name val="Geneva"/>
      <family val="0"/>
    </font>
  </fonts>
  <fills count="9">
    <fill>
      <patternFill/>
    </fill>
    <fill>
      <patternFill patternType="gray125"/>
    </fill>
    <fill>
      <patternFill patternType="solid">
        <fgColor indexed="13"/>
        <bgColor indexed="64"/>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14"/>
        <bgColor indexed="64"/>
      </patternFill>
    </fill>
    <fill>
      <patternFill patternType="solid">
        <fgColor indexed="47"/>
        <bgColor indexed="64"/>
      </patternFill>
    </fill>
  </fills>
  <borders count="6">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color indexed="63"/>
      </bottom>
    </border>
    <border>
      <left>
        <color indexed="63"/>
      </left>
      <right style="thin"/>
      <top>
        <color indexed="63"/>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57">
    <xf numFmtId="0" fontId="0" fillId="0" borderId="0" xfId="0" applyAlignment="1">
      <alignment/>
    </xf>
    <xf numFmtId="0" fontId="0" fillId="2" borderId="0" xfId="0" applyFill="1" applyAlignment="1">
      <alignment/>
    </xf>
    <xf numFmtId="0" fontId="0" fillId="3" borderId="0" xfId="0" applyFill="1" applyAlignment="1">
      <alignment/>
    </xf>
    <xf numFmtId="0" fontId="0" fillId="0" borderId="0" xfId="0" applyAlignment="1" quotePrefix="1">
      <alignment/>
    </xf>
    <xf numFmtId="164" fontId="0" fillId="0" borderId="0" xfId="0" applyNumberFormat="1" applyAlignment="1">
      <alignment/>
    </xf>
    <xf numFmtId="164" fontId="0" fillId="2" borderId="0" xfId="0" applyNumberFormat="1" applyFill="1" applyAlignment="1">
      <alignment/>
    </xf>
    <xf numFmtId="164" fontId="0" fillId="3" borderId="0" xfId="0" applyNumberFormat="1" applyFill="1" applyAlignment="1">
      <alignment/>
    </xf>
    <xf numFmtId="164" fontId="0" fillId="0" borderId="0" xfId="0" applyNumberFormat="1" applyAlignment="1" quotePrefix="1">
      <alignment/>
    </xf>
    <xf numFmtId="164" fontId="0" fillId="4" borderId="0" xfId="0" applyNumberFormat="1" applyFill="1" applyAlignment="1">
      <alignment/>
    </xf>
    <xf numFmtId="0" fontId="0" fillId="0" borderId="0" xfId="0" applyNumberFormat="1" applyAlignment="1">
      <alignment/>
    </xf>
    <xf numFmtId="0" fontId="1" fillId="0" borderId="0" xfId="0" applyFont="1" applyAlignment="1">
      <alignment/>
    </xf>
    <xf numFmtId="0" fontId="0" fillId="0" borderId="1" xfId="0" applyBorder="1" applyAlignment="1">
      <alignment/>
    </xf>
    <xf numFmtId="0" fontId="0" fillId="0" borderId="1" xfId="0" applyBorder="1" applyAlignment="1" quotePrefix="1">
      <alignment/>
    </xf>
    <xf numFmtId="164" fontId="0" fillId="0" borderId="1" xfId="0" applyNumberFormat="1" applyBorder="1" applyAlignment="1">
      <alignment/>
    </xf>
    <xf numFmtId="2" fontId="0" fillId="0" borderId="1" xfId="0" applyNumberFormat="1" applyBorder="1" applyAlignment="1">
      <alignment/>
    </xf>
    <xf numFmtId="0" fontId="0" fillId="0" borderId="0" xfId="0" applyBorder="1" applyAlignment="1">
      <alignment/>
    </xf>
    <xf numFmtId="0" fontId="0" fillId="0" borderId="0" xfId="0" applyBorder="1" applyAlignment="1" quotePrefix="1">
      <alignment/>
    </xf>
    <xf numFmtId="164" fontId="0" fillId="0" borderId="0" xfId="0" applyNumberFormat="1" applyBorder="1" applyAlignment="1">
      <alignment/>
    </xf>
    <xf numFmtId="2" fontId="0" fillId="0" borderId="0" xfId="0" applyNumberFormat="1" applyBorder="1" applyAlignment="1">
      <alignment/>
    </xf>
    <xf numFmtId="164" fontId="0" fillId="0" borderId="2" xfId="0" applyNumberFormat="1" applyBorder="1" applyAlignment="1">
      <alignment/>
    </xf>
    <xf numFmtId="164" fontId="0" fillId="0" borderId="3" xfId="0" applyNumberFormat="1" applyBorder="1" applyAlignment="1">
      <alignment/>
    </xf>
    <xf numFmtId="0" fontId="0" fillId="0" borderId="2" xfId="0" applyBorder="1" applyAlignment="1">
      <alignment/>
    </xf>
    <xf numFmtId="164" fontId="0" fillId="2" borderId="2" xfId="0" applyNumberFormat="1" applyFill="1" applyBorder="1" applyAlignment="1">
      <alignment/>
    </xf>
    <xf numFmtId="164" fontId="0" fillId="0" borderId="2" xfId="0" applyNumberFormat="1" applyBorder="1" applyAlignment="1" quotePrefix="1">
      <alignment/>
    </xf>
    <xf numFmtId="0" fontId="0" fillId="0" borderId="4" xfId="0" applyBorder="1" applyAlignment="1">
      <alignment/>
    </xf>
    <xf numFmtId="164" fontId="0" fillId="2" borderId="4" xfId="0" applyNumberFormat="1" applyFill="1" applyBorder="1" applyAlignment="1">
      <alignment/>
    </xf>
    <xf numFmtId="164" fontId="0" fillId="0" borderId="4" xfId="0" applyNumberFormat="1" applyBorder="1" applyAlignment="1" quotePrefix="1">
      <alignment/>
    </xf>
    <xf numFmtId="164" fontId="0" fillId="0" borderId="4" xfId="0" applyNumberFormat="1" applyBorder="1" applyAlignment="1">
      <alignment/>
    </xf>
    <xf numFmtId="164" fontId="0" fillId="0" borderId="5" xfId="0" applyNumberFormat="1" applyBorder="1" applyAlignment="1">
      <alignment/>
    </xf>
    <xf numFmtId="0" fontId="0" fillId="3" borderId="4" xfId="0" applyFill="1" applyBorder="1" applyAlignment="1">
      <alignment/>
    </xf>
    <xf numFmtId="164" fontId="0" fillId="2" borderId="0" xfId="0" applyNumberFormat="1" applyFill="1" applyBorder="1" applyAlignment="1">
      <alignment/>
    </xf>
    <xf numFmtId="164" fontId="0" fillId="0" borderId="0" xfId="0" applyNumberFormat="1" applyBorder="1" applyAlignment="1" quotePrefix="1">
      <alignment/>
    </xf>
    <xf numFmtId="0" fontId="0" fillId="3" borderId="0" xfId="0" applyFill="1" applyBorder="1" applyAlignment="1">
      <alignment/>
    </xf>
    <xf numFmtId="0" fontId="0" fillId="3" borderId="2" xfId="0" applyFill="1" applyBorder="1" applyAlignment="1">
      <alignment/>
    </xf>
    <xf numFmtId="164" fontId="0" fillId="4" borderId="2" xfId="0" applyNumberFormat="1" applyFill="1" applyBorder="1" applyAlignment="1">
      <alignment/>
    </xf>
    <xf numFmtId="164" fontId="0" fillId="4" borderId="0" xfId="0" applyNumberFormat="1" applyFill="1" applyBorder="1" applyAlignment="1">
      <alignment/>
    </xf>
    <xf numFmtId="0" fontId="0" fillId="5" borderId="0" xfId="0" applyFill="1" applyAlignment="1">
      <alignment/>
    </xf>
    <xf numFmtId="164" fontId="0" fillId="6" borderId="2" xfId="0" applyNumberFormat="1" applyFill="1" applyBorder="1" applyAlignment="1">
      <alignment/>
    </xf>
    <xf numFmtId="164" fontId="0" fillId="6" borderId="0" xfId="0" applyNumberFormat="1" applyFill="1" applyAlignment="1">
      <alignment/>
    </xf>
    <xf numFmtId="164" fontId="0" fillId="6" borderId="0" xfId="0" applyNumberFormat="1" applyFill="1" applyBorder="1" applyAlignment="1">
      <alignment/>
    </xf>
    <xf numFmtId="164" fontId="0" fillId="6" borderId="4" xfId="0" applyNumberFormat="1" applyFill="1" applyBorder="1" applyAlignment="1">
      <alignment/>
    </xf>
    <xf numFmtId="0" fontId="0" fillId="7" borderId="0" xfId="0" applyFill="1" applyAlignment="1">
      <alignment/>
    </xf>
    <xf numFmtId="0" fontId="0" fillId="0" borderId="0" xfId="0" applyFont="1" applyAlignment="1">
      <alignment/>
    </xf>
    <xf numFmtId="164" fontId="0" fillId="2" borderId="2" xfId="0" applyNumberFormat="1" applyFont="1" applyFill="1" applyBorder="1" applyAlignment="1">
      <alignment/>
    </xf>
    <xf numFmtId="164" fontId="0" fillId="2" borderId="0" xfId="0" applyNumberFormat="1" applyFont="1" applyFill="1" applyAlignment="1">
      <alignment/>
    </xf>
    <xf numFmtId="164" fontId="0" fillId="6" borderId="0" xfId="0" applyNumberFormat="1" applyFont="1" applyFill="1" applyBorder="1" applyAlignment="1">
      <alignment/>
    </xf>
    <xf numFmtId="164" fontId="0" fillId="6" borderId="4" xfId="0" applyNumberFormat="1" applyFont="1" applyFill="1" applyBorder="1" applyAlignment="1">
      <alignment/>
    </xf>
    <xf numFmtId="164" fontId="0" fillId="6" borderId="0" xfId="0" applyNumberFormat="1" applyFont="1" applyFill="1" applyAlignment="1">
      <alignment/>
    </xf>
    <xf numFmtId="0" fontId="0" fillId="6" borderId="0" xfId="0" applyFill="1" applyAlignment="1">
      <alignment/>
    </xf>
    <xf numFmtId="0" fontId="0" fillId="8" borderId="0" xfId="0" applyFill="1" applyAlignment="1">
      <alignment/>
    </xf>
    <xf numFmtId="164" fontId="0" fillId="4" borderId="4" xfId="0" applyNumberFormat="1" applyFill="1" applyBorder="1" applyAlignment="1">
      <alignment/>
    </xf>
    <xf numFmtId="166" fontId="0" fillId="0" borderId="0" xfId="0" applyNumberFormat="1" applyBorder="1" applyAlignment="1">
      <alignment/>
    </xf>
    <xf numFmtId="166" fontId="0" fillId="0" borderId="1" xfId="0" applyNumberFormat="1" applyBorder="1" applyAlignment="1">
      <alignment/>
    </xf>
    <xf numFmtId="166" fontId="0" fillId="0" borderId="0" xfId="0" applyNumberFormat="1" applyAlignment="1">
      <alignment/>
    </xf>
    <xf numFmtId="1" fontId="0" fillId="0" borderId="0" xfId="0" applyNumberFormat="1" applyAlignment="1">
      <alignment/>
    </xf>
    <xf numFmtId="0" fontId="0" fillId="0" borderId="0" xfId="0" applyFill="1" applyAlignment="1">
      <alignment/>
    </xf>
    <xf numFmtId="0" fontId="0" fillId="3" borderId="1" xfId="0"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3:B12"/>
  <sheetViews>
    <sheetView tabSelected="1" workbookViewId="0" topLeftCell="A1">
      <selection activeCell="B14" sqref="B14"/>
    </sheetView>
  </sheetViews>
  <sheetFormatPr defaultColWidth="11.00390625" defaultRowHeight="12"/>
  <sheetData>
    <row r="3" ht="12.75">
      <c r="B3" t="s">
        <v>27</v>
      </c>
    </row>
    <row r="4" ht="12.75">
      <c r="B4" t="s">
        <v>28</v>
      </c>
    </row>
    <row r="5" ht="12.75">
      <c r="B5" t="s">
        <v>29</v>
      </c>
    </row>
    <row r="7" ht="12.75">
      <c r="B7" t="s">
        <v>30</v>
      </c>
    </row>
    <row r="9" ht="12.75">
      <c r="B9" t="s">
        <v>31</v>
      </c>
    </row>
    <row r="10" ht="12.75">
      <c r="B10" t="s">
        <v>32</v>
      </c>
    </row>
    <row r="12" ht="12.75">
      <c r="B12" t="s">
        <v>33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K567"/>
  <sheetViews>
    <sheetView workbookViewId="0" topLeftCell="A1">
      <selection activeCell="AB1" sqref="AB1"/>
    </sheetView>
  </sheetViews>
  <sheetFormatPr defaultColWidth="11.00390625" defaultRowHeight="12"/>
  <cols>
    <col min="1" max="2" width="11.50390625" style="0" customWidth="1"/>
    <col min="3" max="3" width="8.375" style="0" customWidth="1"/>
    <col min="4" max="4" width="4.50390625" style="0" customWidth="1"/>
    <col min="5" max="5" width="4.375" style="0" customWidth="1"/>
    <col min="6" max="6" width="7.875" style="0" customWidth="1"/>
    <col min="7" max="7" width="5.625" style="21" customWidth="1"/>
    <col min="8" max="13" width="5.625" style="0" customWidth="1"/>
    <col min="14" max="14" width="5.625" style="24" customWidth="1"/>
    <col min="15" max="22" width="5.625" style="0" customWidth="1"/>
    <col min="23" max="23" width="6.375" style="15" customWidth="1"/>
    <col min="24" max="24" width="7.50390625" style="15" customWidth="1"/>
    <col min="25" max="25" width="3.125" style="15" customWidth="1"/>
    <col min="26" max="26" width="7.50390625" style="21" customWidth="1"/>
    <col min="27" max="27" width="5.875" style="0" customWidth="1"/>
    <col min="28" max="28" width="6.50390625" style="0" customWidth="1"/>
    <col min="29" max="29" width="7.625" style="0" customWidth="1"/>
    <col min="30" max="30" width="7.125" style="0" customWidth="1"/>
    <col min="31" max="31" width="6.375" style="0" customWidth="1"/>
    <col min="32" max="32" width="6.50390625" style="0" customWidth="1"/>
    <col min="33" max="33" width="7.00390625" style="0" customWidth="1"/>
    <col min="34" max="34" width="7.00390625" style="21" customWidth="1"/>
    <col min="35" max="35" width="7.00390625" style="15" customWidth="1"/>
    <col min="36" max="41" width="7.00390625" style="0" customWidth="1"/>
    <col min="42" max="42" width="6.625" style="0" customWidth="1"/>
    <col min="43" max="58" width="11.50390625" style="0" customWidth="1"/>
    <col min="59" max="59" width="5.625" style="0" customWidth="1"/>
    <col min="60" max="61" width="4.00390625" style="0" customWidth="1"/>
    <col min="62" max="62" width="4.375" style="0" customWidth="1"/>
    <col min="63" max="63" width="6.00390625" style="0" customWidth="1"/>
    <col min="64" max="16384" width="11.50390625" style="0" customWidth="1"/>
  </cols>
  <sheetData>
    <row r="1" spans="1:26" ht="12.75">
      <c r="A1" s="10" t="s">
        <v>23</v>
      </c>
      <c r="Z1"/>
    </row>
    <row r="2" ht="12.75">
      <c r="Z2"/>
    </row>
    <row r="3" spans="4:26" ht="12.75">
      <c r="D3" t="s">
        <v>3</v>
      </c>
      <c r="Z3"/>
    </row>
    <row r="4" spans="4:28" ht="12.75">
      <c r="D4" s="10" t="s">
        <v>24</v>
      </c>
      <c r="J4" t="s">
        <v>25</v>
      </c>
      <c r="AB4" t="s">
        <v>26</v>
      </c>
    </row>
    <row r="5" ht="12.75">
      <c r="D5" t="s">
        <v>50</v>
      </c>
    </row>
    <row r="6" ht="12.75">
      <c r="D6" s="9" t="s">
        <v>36</v>
      </c>
    </row>
    <row r="7" ht="12.75">
      <c r="B7" s="55"/>
    </row>
    <row r="8" spans="1:53" ht="12.75">
      <c r="A8" s="2"/>
      <c r="B8" s="2"/>
      <c r="C8" s="2"/>
      <c r="D8" s="2"/>
      <c r="E8" s="2"/>
      <c r="F8" s="2"/>
      <c r="G8" s="33"/>
      <c r="H8" s="2"/>
      <c r="I8" s="2"/>
      <c r="J8" s="2"/>
      <c r="K8" s="2"/>
      <c r="L8" s="2"/>
      <c r="M8" s="2"/>
      <c r="N8" s="29"/>
      <c r="O8" s="2"/>
      <c r="P8" s="2"/>
      <c r="Q8" s="2"/>
      <c r="R8" s="2"/>
      <c r="S8" s="2"/>
      <c r="T8" s="2"/>
      <c r="U8" s="2"/>
      <c r="V8" s="2"/>
      <c r="W8" s="32"/>
      <c r="X8" s="32"/>
      <c r="Y8" s="32"/>
      <c r="Z8" s="33"/>
      <c r="AA8" s="2"/>
      <c r="AB8" s="2"/>
      <c r="AC8" s="2"/>
      <c r="AD8" s="2"/>
      <c r="AE8" s="2"/>
      <c r="AF8" s="2"/>
      <c r="AG8" s="2"/>
      <c r="AH8" s="33"/>
      <c r="AI8" s="32"/>
      <c r="AJ8" s="2"/>
      <c r="AK8" s="2"/>
      <c r="AL8" s="2"/>
      <c r="AM8" s="2"/>
      <c r="AN8" s="2"/>
      <c r="AO8" s="2"/>
      <c r="AP8" s="2"/>
      <c r="AQ8" s="2"/>
      <c r="AR8" s="2"/>
      <c r="AS8" s="2"/>
      <c r="AT8" s="2"/>
      <c r="AU8" s="2"/>
      <c r="AV8" s="2"/>
      <c r="AW8" s="2"/>
      <c r="AX8" s="2"/>
      <c r="AY8" s="2"/>
      <c r="AZ8" s="2"/>
      <c r="BA8" s="2"/>
    </row>
    <row r="9" spans="1:53" ht="12.75">
      <c r="A9" s="2"/>
      <c r="E9" t="s">
        <v>49</v>
      </c>
      <c r="BA9" s="2"/>
    </row>
    <row r="10" spans="1:53" ht="12.75">
      <c r="A10" s="2"/>
      <c r="B10" t="s">
        <v>98</v>
      </c>
      <c r="C10" s="48">
        <v>0.04856410056116224</v>
      </c>
      <c r="BA10" s="2"/>
    </row>
    <row r="11" spans="1:53" ht="12.75">
      <c r="A11" s="2"/>
      <c r="B11" t="s">
        <v>99</v>
      </c>
      <c r="C11" s="48">
        <v>0.06757619548818995</v>
      </c>
      <c r="Z11" s="21" t="s">
        <v>34</v>
      </c>
      <c r="BA11" s="2"/>
    </row>
    <row r="12" spans="1:53" ht="12.75">
      <c r="A12" s="2"/>
      <c r="B12" t="s">
        <v>100</v>
      </c>
      <c r="C12" s="48">
        <v>0</v>
      </c>
      <c r="BA12" s="2"/>
    </row>
    <row r="13" spans="1:53" ht="12.75">
      <c r="A13" s="2"/>
      <c r="B13" t="s">
        <v>5</v>
      </c>
      <c r="C13" s="48">
        <v>0.13950891079219627</v>
      </c>
      <c r="G13" s="21" t="s">
        <v>107</v>
      </c>
      <c r="O13" s="42"/>
      <c r="Z13" s="21" t="s">
        <v>101</v>
      </c>
      <c r="AP13" t="s">
        <v>108</v>
      </c>
      <c r="AX13" t="s">
        <v>92</v>
      </c>
      <c r="BA13" s="2"/>
    </row>
    <row r="14" spans="1:53" ht="12.75">
      <c r="A14" s="2"/>
      <c r="W14" s="30" t="s">
        <v>22</v>
      </c>
      <c r="X14" s="15" t="s">
        <v>2</v>
      </c>
      <c r="AP14" t="s">
        <v>22</v>
      </c>
      <c r="AQ14" t="s">
        <v>37</v>
      </c>
      <c r="BA14" s="2"/>
    </row>
    <row r="15" spans="1:53" ht="12.75">
      <c r="A15" s="2"/>
      <c r="E15" s="2"/>
      <c r="F15" s="2"/>
      <c r="G15" s="5">
        <v>0</v>
      </c>
      <c r="H15" s="5">
        <v>0</v>
      </c>
      <c r="I15" s="5">
        <v>0</v>
      </c>
      <c r="J15" s="5">
        <v>0</v>
      </c>
      <c r="K15" s="38">
        <v>0.031797327048852235</v>
      </c>
      <c r="L15" s="38">
        <v>0.04403131656847393</v>
      </c>
      <c r="M15" s="38">
        <v>0.13027789849975735</v>
      </c>
      <c r="N15" s="38">
        <v>0.5095235757713493</v>
      </c>
      <c r="O15" s="38">
        <v>0.04248566365171582</v>
      </c>
      <c r="P15" s="5">
        <v>0</v>
      </c>
      <c r="Q15" s="5">
        <v>0</v>
      </c>
      <c r="R15" s="5">
        <v>0</v>
      </c>
      <c r="S15" s="5">
        <v>0</v>
      </c>
      <c r="T15" s="5">
        <v>0</v>
      </c>
      <c r="U15" s="5">
        <v>0</v>
      </c>
      <c r="V15" s="38">
        <v>0.24188421845985134</v>
      </c>
      <c r="W15" s="17">
        <f>SUM(G15:V15)</f>
        <v>0.9999999999999999</v>
      </c>
      <c r="X15" s="15" t="s">
        <v>97</v>
      </c>
      <c r="Z15" s="34">
        <f aca="true" t="shared" si="0" ref="Z15:AG15">G15</f>
        <v>0</v>
      </c>
      <c r="AA15" s="8">
        <f t="shared" si="0"/>
        <v>0</v>
      </c>
      <c r="AB15" s="8">
        <f t="shared" si="0"/>
        <v>0</v>
      </c>
      <c r="AC15" s="8">
        <f t="shared" si="0"/>
        <v>0</v>
      </c>
      <c r="AD15" s="8">
        <f t="shared" si="0"/>
        <v>0.031797327048852235</v>
      </c>
      <c r="AE15" s="8">
        <f t="shared" si="0"/>
        <v>0.04403131656847393</v>
      </c>
      <c r="AF15" s="8">
        <f t="shared" si="0"/>
        <v>0.13027789849975735</v>
      </c>
      <c r="AG15" s="8">
        <f t="shared" si="0"/>
        <v>0.5095235757713493</v>
      </c>
      <c r="AH15" s="34">
        <f aca="true" t="shared" si="1" ref="AH15:AO15">O15</f>
        <v>0.04248566365171582</v>
      </c>
      <c r="AI15" s="35">
        <f t="shared" si="1"/>
        <v>0</v>
      </c>
      <c r="AJ15" s="8">
        <f t="shared" si="1"/>
        <v>0</v>
      </c>
      <c r="AK15" s="8">
        <f t="shared" si="1"/>
        <v>0</v>
      </c>
      <c r="AL15" s="8">
        <f t="shared" si="1"/>
        <v>0</v>
      </c>
      <c r="AM15" s="8">
        <f t="shared" si="1"/>
        <v>0</v>
      </c>
      <c r="AN15" s="8">
        <f t="shared" si="1"/>
        <v>0</v>
      </c>
      <c r="AO15" s="8">
        <f t="shared" si="1"/>
        <v>0.24188421845985134</v>
      </c>
      <c r="AP15" s="6">
        <f>SUM(Z15:AO15)</f>
        <v>0.9999999999999999</v>
      </c>
      <c r="AX15" s="53" t="s">
        <v>90</v>
      </c>
      <c r="AY15" s="53" t="s">
        <v>91</v>
      </c>
      <c r="AZ15" s="53"/>
      <c r="BA15" s="2"/>
    </row>
    <row r="16" spans="1:53" ht="12.75">
      <c r="A16" s="2"/>
      <c r="B16" t="s">
        <v>1</v>
      </c>
      <c r="C16" t="s">
        <v>102</v>
      </c>
      <c r="D16" t="s">
        <v>103</v>
      </c>
      <c r="E16" t="s">
        <v>104</v>
      </c>
      <c r="F16" t="s">
        <v>105</v>
      </c>
      <c r="G16" s="23" t="s">
        <v>6</v>
      </c>
      <c r="H16" s="7" t="s">
        <v>8</v>
      </c>
      <c r="I16" s="7" t="s">
        <v>9</v>
      </c>
      <c r="J16" s="7" t="s">
        <v>10</v>
      </c>
      <c r="K16" s="7" t="s">
        <v>11</v>
      </c>
      <c r="L16" s="7" t="s">
        <v>12</v>
      </c>
      <c r="M16" s="7" t="s">
        <v>13</v>
      </c>
      <c r="N16" s="26" t="s">
        <v>14</v>
      </c>
      <c r="O16" s="7" t="s">
        <v>7</v>
      </c>
      <c r="P16" s="7" t="s">
        <v>15</v>
      </c>
      <c r="Q16" s="7" t="s">
        <v>16</v>
      </c>
      <c r="R16" s="7" t="s">
        <v>17</v>
      </c>
      <c r="S16" s="7" t="s">
        <v>18</v>
      </c>
      <c r="T16" s="7" t="s">
        <v>19</v>
      </c>
      <c r="U16" s="7" t="s">
        <v>20</v>
      </c>
      <c r="V16" s="31" t="s">
        <v>21</v>
      </c>
      <c r="W16" s="31"/>
      <c r="Z16" s="23" t="s">
        <v>6</v>
      </c>
      <c r="AA16" s="7" t="s">
        <v>8</v>
      </c>
      <c r="AB16" s="7" t="s">
        <v>9</v>
      </c>
      <c r="AC16" s="7" t="s">
        <v>10</v>
      </c>
      <c r="AD16" s="7" t="s">
        <v>11</v>
      </c>
      <c r="AE16" s="7" t="s">
        <v>12</v>
      </c>
      <c r="AF16" s="7" t="s">
        <v>13</v>
      </c>
      <c r="AG16" s="26" t="s">
        <v>14</v>
      </c>
      <c r="AH16" s="7" t="s">
        <v>7</v>
      </c>
      <c r="AI16" s="7" t="s">
        <v>15</v>
      </c>
      <c r="AJ16" s="7" t="s">
        <v>16</v>
      </c>
      <c r="AK16" s="7" t="s">
        <v>17</v>
      </c>
      <c r="AL16" s="7" t="s">
        <v>18</v>
      </c>
      <c r="AM16" s="7" t="s">
        <v>19</v>
      </c>
      <c r="AN16" s="7" t="s">
        <v>20</v>
      </c>
      <c r="AO16" s="31" t="s">
        <v>21</v>
      </c>
      <c r="AP16" s="6"/>
      <c r="AR16" t="s">
        <v>65</v>
      </c>
      <c r="AS16" t="s">
        <v>59</v>
      </c>
      <c r="AT16" t="s">
        <v>60</v>
      </c>
      <c r="AU16" t="s">
        <v>62</v>
      </c>
      <c r="AW16" t="s">
        <v>63</v>
      </c>
      <c r="AX16" s="53"/>
      <c r="AY16" s="53"/>
      <c r="AZ16" s="53"/>
      <c r="BA16" s="2"/>
    </row>
    <row r="17" spans="1:53" ht="12.75">
      <c r="A17" s="2"/>
      <c r="B17" s="16" t="s">
        <v>6</v>
      </c>
      <c r="C17">
        <v>2</v>
      </c>
      <c r="G17" s="19">
        <f>(1-e1_)*(1-e2_)*(1-e3_)*(1-e4_)*a___</f>
        <v>0</v>
      </c>
      <c r="H17" s="4">
        <f>(1-e1_)*(1-e2_)*(e3_)*(1-e4_)*a__1</f>
        <v>0</v>
      </c>
      <c r="I17" s="4">
        <f>(1-e1_)*(e2_)*(1-e3_)*(1-e4_)*a_1_</f>
        <v>0</v>
      </c>
      <c r="J17" s="4">
        <f>(1-e1_)*(e2_)*(e3_)*(1-e4_)*a_11</f>
        <v>0</v>
      </c>
      <c r="K17" s="4">
        <f>(e1_)*(1-e2_)*(1-e3_)*(1-e4_)*a1__</f>
        <v>0.001238983986521503</v>
      </c>
      <c r="L17" s="4">
        <f>(e1_)*(1-e2_)*(e3_)*(1-e4_)*a1_1</f>
        <v>0</v>
      </c>
      <c r="M17" s="4">
        <f>(e1_)*(e2_)*(1-e3_)*(1-e4_)*a11_</f>
        <v>0.00036789696831413833</v>
      </c>
      <c r="N17" s="27">
        <f>(e1_)*(e2_)*(e3_)*(1-e4_)*a_111</f>
        <v>0</v>
      </c>
      <c r="O17" s="4">
        <f>(1-e1_)*(1-e2_)*(1-e3_)*(e4_)*a___1</f>
        <v>0.005258201698422367</v>
      </c>
      <c r="P17" s="4">
        <f>(1-e1_)*(1-e2_)*(e3_)*(e4_)*a__11</f>
        <v>0</v>
      </c>
      <c r="Q17" s="4">
        <f>(1-e1_)*(e2_)*(1-e3_)*(e4_)*a_1_1</f>
        <v>0</v>
      </c>
      <c r="R17" s="4">
        <f>(1-e1_)*(e2_)*(e3_)*(e4_)*a__111</f>
        <v>0</v>
      </c>
      <c r="S17" s="4">
        <f>(e1_)*(1-e2_)*(1-e3_)*(e4_)*a1__1</f>
        <v>0</v>
      </c>
      <c r="T17" s="4">
        <f>(e1_)*(1-e2_)*(e3_)*(e4_)*a1_11</f>
        <v>0</v>
      </c>
      <c r="U17" s="4">
        <f>(e1_)*(e2_)*(1-e3_)*(e4_)*a11_1</f>
        <v>0</v>
      </c>
      <c r="V17" s="17">
        <f>(e1_)*(e2_)*(e3_)*(e4_)*a_1111</f>
        <v>0</v>
      </c>
      <c r="W17" s="17">
        <f>SUM(G17:V17)</f>
        <v>0.006865082653258008</v>
      </c>
      <c r="X17" s="18">
        <f>$C$33*W17</f>
        <v>1.661350002088438</v>
      </c>
      <c r="Y17" s="18"/>
      <c r="Z17" s="19">
        <f>(1-e1_)*(1-e2_)*(1-e3_)*(1-e4_)*a___*(1-e1_)*(1-e2_)*(1-e3_)*(1-e4_)</f>
        <v>0</v>
      </c>
      <c r="AA17" s="4">
        <f>(1-e1_)*(1-e2_)*(e3_)*(1-e4_)*a__1*(1-e1_)*(1-e2_)*(e3_)*(1-e4_)</f>
        <v>0</v>
      </c>
      <c r="AB17" s="4">
        <f>(1-e1_)*(e2_)*(1-e3_)*(1-e4_)*a_1_*(1-e1_)*(e2_)*(1-e3_)*(1-e4_)</f>
        <v>0</v>
      </c>
      <c r="AC17" s="4">
        <f>(1-e1_)*(e2_)*(e3_)*(1-e4_)*a_11*(1-e1_)*(e2_)*(e3_)*(1-e4_)</f>
        <v>0</v>
      </c>
      <c r="AD17" s="4">
        <f>(e1_)*(1-e2_)*(1-e3_)*(1-e4_)*a1__*(e1_)*(1-e2_)*(1-e3_)*(1-e4_)</f>
        <v>4.8277055379474944E-05</v>
      </c>
      <c r="AE17" s="4">
        <f>(e1_)*(1-e2_)*(e3_)*(1-e4_)*a1_1*(e1_)*(1-e2_)*(e3_)*(1-e4_)</f>
        <v>0</v>
      </c>
      <c r="AF17" s="4">
        <f>(e1_)*(e2_)*(1-e3_)*(1-e4_)*a11_*(e1_)*(e2_)*(1-e3_)*(1-e4_)</f>
        <v>1.0389189636412977E-06</v>
      </c>
      <c r="AG17" s="4">
        <f>(e1_)*(e2_)*(e3_)*(1-e4_)*a_111*(e1_)*(e2_)*(e3_)*(1-e4_)</f>
        <v>0</v>
      </c>
      <c r="AH17" s="19">
        <f>(1-e1_)*(1-e2_)*(1-e3_)*(e4_)*a___1*(1-e1_)*(1-e2_)*(1-e3_)*(e4_)</f>
        <v>0.0006507768203398479</v>
      </c>
      <c r="AI17" s="17">
        <f>(1-e1_)*(1-e2_)*(e3_)*(e4_)*a__11*(1-e1_)*(1-e2_)*(e3_)*(e4_)</f>
        <v>0</v>
      </c>
      <c r="AJ17" s="4">
        <f>(1-e1_)*(e2_)*(1-e3_)*(e4_)*a_1_1*(1-e1_)*(e2_)*(1-e3_)*(e4_)</f>
        <v>0</v>
      </c>
      <c r="AK17" s="4">
        <f>(1-e1_)*(e2_)*(e3_)*(e4_)*a__111*(1-e1_)*(e2_)*(e3_)*(e4_)</f>
        <v>0</v>
      </c>
      <c r="AL17" s="4">
        <f>(e1_)*(1-e2_)*(1-e3_)*(e4_)*a1__1*(e1_)*(1-e2_)*(1-e3_)*(e4_)</f>
        <v>0</v>
      </c>
      <c r="AM17" s="4">
        <f>(e1_)*(1-e2_)*(e3_)*(e4_)*a1_11*(e1_)*(1-e2_)*(e3_)*(e4_)</f>
        <v>0</v>
      </c>
      <c r="AN17" s="4">
        <f>(e1_)*(e2_)*(1-e3_)*(e4_)*a11_1*(e1_)*(e2_)*(1-e3_)*(e4_)</f>
        <v>0</v>
      </c>
      <c r="AO17" s="4">
        <f>(e1_)*(e2_)*(e3_)*(e4_)*a_1111*(e1_)*(e2_)*(e3_)*(e4_)</f>
        <v>0</v>
      </c>
      <c r="AP17" s="6">
        <f aca="true" t="shared" si="2" ref="AP17:AP32">SUM(Z17:AO17)</f>
        <v>0.0007000927946829641</v>
      </c>
      <c r="AQ17">
        <f>POWER(C17-X17,2)/X17</f>
        <v>0.06903049985935236</v>
      </c>
      <c r="AR17">
        <f>IF(X17&lt;4,1,0)</f>
        <v>1</v>
      </c>
      <c r="AS17">
        <f>POWER(C17-X17,2)</f>
        <v>0.11468382108550097</v>
      </c>
      <c r="AT17">
        <f>AR17*X17</f>
        <v>1.661350002088438</v>
      </c>
      <c r="AU17">
        <f>IF(AR17=1,C17,0)</f>
        <v>2</v>
      </c>
      <c r="AV17">
        <f>IF(AR17=0,AQ17,0)</f>
        <v>0</v>
      </c>
      <c r="AW17">
        <f>IF(AV17&gt;0.00001,1,0)</f>
        <v>0</v>
      </c>
      <c r="AX17" s="53">
        <f>100*(C21+C22+C23+C24+C29+C30+C31+C32)/C33</f>
        <v>91.32231404958678</v>
      </c>
      <c r="AY17" s="53">
        <f>100*(X21+X22+X23+X24+X29+X30+X31+X32)/X33</f>
        <v>91.30767918711014</v>
      </c>
      <c r="AZ17" s="53" t="s">
        <v>93</v>
      </c>
      <c r="BA17" s="2"/>
    </row>
    <row r="18" spans="1:53" ht="12.75">
      <c r="A18" s="2"/>
      <c r="B18" s="16" t="s">
        <v>8</v>
      </c>
      <c r="C18">
        <v>1</v>
      </c>
      <c r="G18" s="19">
        <f>(1-e1_)*(1-e2_)*(e3_)*(1-e4_)*a___</f>
        <v>0</v>
      </c>
      <c r="H18" s="4">
        <f>(1-e1_)*(1-e2_)*(1-e3_)*(1-e4_)*a__1</f>
        <v>0</v>
      </c>
      <c r="I18" s="4">
        <f>(1-e1_)*(e2_)*(e3_)*(1-e4_)*a_1_</f>
        <v>0</v>
      </c>
      <c r="J18" s="4">
        <f>(1-e1_)*(e2_)*(1-e3_)*(1-e4_)*a_11</f>
        <v>0</v>
      </c>
      <c r="K18" s="4">
        <f>(e1_)*(1-e2_)*(e3_)*(1-e4_)*a1__</f>
        <v>0</v>
      </c>
      <c r="L18" s="4">
        <f>(e1_)*(1-e2_)*(1-e3_)*(1-e4_)*a1_1</f>
        <v>0.0017156818260221447</v>
      </c>
      <c r="M18" s="4">
        <f>(e1_)*(e2_)*(e3_)*(1-e4_)*a11_</f>
        <v>0</v>
      </c>
      <c r="N18" s="27">
        <f>(e1_)*(e2_)*(1-e3_)*(1-e4_)*a_111</f>
        <v>0.0014388640050960577</v>
      </c>
      <c r="O18" s="4">
        <f>(1-e1_)*(1-e2_)*(e3_)*(e4_)*a___1</f>
        <v>0</v>
      </c>
      <c r="P18" s="4">
        <f>(1-e1_)*(1-e2_)*(1-e3_)*(e4_)*a__11</f>
        <v>0</v>
      </c>
      <c r="Q18" s="4">
        <f>(1-e1_)*(e2_)*(e3_)*(e4_)*a_1_1</f>
        <v>0</v>
      </c>
      <c r="R18" s="4">
        <f>(1-e1_)*(e2_)*(1-e3_)*(e4_)*a__111</f>
        <v>0</v>
      </c>
      <c r="S18" s="4">
        <f>(e1_)*(1-e2_)*(e3_)*(e4_)*a1__1</f>
        <v>0</v>
      </c>
      <c r="T18" s="4">
        <f>(e1_)*(1-e2_)*(1-e3_)*(e4_)*a1_11</f>
        <v>0</v>
      </c>
      <c r="U18" s="4">
        <f>(e1_)*(e2_)*(e3_)*(e4_)*a11_1</f>
        <v>0</v>
      </c>
      <c r="V18" s="17">
        <f>(e1_)*(e2_)*(1-e3_)*(e4_)*a_1111</f>
        <v>0.00011074358268748114</v>
      </c>
      <c r="W18" s="17">
        <f aca="true" t="shared" si="3" ref="W18:W32">SUM(G18:V18)</f>
        <v>0.0032652894138056835</v>
      </c>
      <c r="X18" s="18">
        <f aca="true" t="shared" si="4" ref="X18:X32">$C$33*W18</f>
        <v>0.7902000381409754</v>
      </c>
      <c r="Y18" s="18"/>
      <c r="Z18" s="19">
        <f>(1-e1_)*(1-e2_)*(e3_)*(1-e4_)*a___*(1-e1_)*(1-e2_)*(e3_)*(1-e4_)</f>
        <v>0</v>
      </c>
      <c r="AA18" s="4">
        <f>(1-e1_)*(1-e2_)*(1-e3_)*(1-e4_)*a__1*(1-e1_)*(1-e2_)*(1-e3_)*(1-e4_)</f>
        <v>0</v>
      </c>
      <c r="AB18" s="4">
        <f>(1-e1_)*(e2_)*(e3_)*(1-e4_)*a_1_*(1-e1_)*(e2_)*(e3_)*(1-e4_)</f>
        <v>0</v>
      </c>
      <c r="AC18" s="4">
        <f>(1-e1_)*(e2_)*(1-e3_)*(1-e4_)*a_11*(1-e1_)*(e2_)*(1-e3_)*(1-e4_)</f>
        <v>0</v>
      </c>
      <c r="AD18" s="4">
        <f>(e1_)*(1-e2_)*(e3_)*(1-e4_)*a1__*(e1_)*(1-e2_)*(e3_)*(1-e4_)</f>
        <v>0</v>
      </c>
      <c r="AE18" s="4">
        <f>(e1_)*(1-e2_)*(1-e3_)*(1-e4_)*a1_1*(e1_)*(1-e2_)*(1-e3_)*(1-e4_)</f>
        <v>6.685160375718242E-05</v>
      </c>
      <c r="AF18" s="4">
        <f>(e1_)*(e2_)*(e3_)*(1-e4_)*a11_*(e1_)*(e2_)*(e3_)*(1-e4_)</f>
        <v>0</v>
      </c>
      <c r="AG18" s="4">
        <f>(e1_)*(e2_)*(1-e3_)*(1-e4_)*a_111*(e1_)*(e2_)*(1-e3_)*(1-e4_)</f>
        <v>4.063265614406303E-06</v>
      </c>
      <c r="AH18" s="19">
        <f>(1-e1_)*(1-e2_)*(e3_)*(e4_)*a___1*(1-e1_)*(1-e2_)*(e3_)*(e4_)</f>
        <v>0</v>
      </c>
      <c r="AI18" s="17">
        <f>(1-e1_)*(1-e2_)*(1-e3_)*(e4_)*a__11*(1-e1_)*(1-e2_)*(1-e3_)*(e4_)</f>
        <v>0</v>
      </c>
      <c r="AJ18" s="4">
        <f>(1-e1_)*(e2_)*(e3_)*(e4_)*a_1_1*(1-e1_)*(e2_)*(e3_)*(e4_)</f>
        <v>0</v>
      </c>
      <c r="AK18" s="4">
        <f>(1-e1_)*(e2_)*(1-e3_)*(e4_)*a__111*(1-e1_)*(e2_)*(1-e3_)*(e4_)</f>
        <v>0</v>
      </c>
      <c r="AL18" s="4">
        <f>(e1_)*(1-e2_)*(e3_)*(e4_)*a1__1*(e1_)*(1-e2_)*(e3_)*(e4_)</f>
        <v>0</v>
      </c>
      <c r="AM18" s="4">
        <f>(e1_)*(1-e2_)*(1-e3_)*(e4_)*a1_11*(e1_)*(1-e2_)*(1-e3_)*(e4_)</f>
        <v>0</v>
      </c>
      <c r="AN18" s="4">
        <f>(e1_)*(e2_)*(e3_)*(e4_)*a11_1*(e1_)*(e2_)*(e3_)*(e4_)</f>
        <v>0</v>
      </c>
      <c r="AO18" s="4">
        <f>(e1_)*(e2_)*(1-e3_)*(e4_)*a_1111*(e1_)*(e2_)*(1-e3_)*(e4_)</f>
        <v>5.0702526955038246E-08</v>
      </c>
      <c r="AP18" s="6">
        <f t="shared" si="2"/>
        <v>7.096557189854376E-05</v>
      </c>
      <c r="AQ18">
        <f aca="true" t="shared" si="5" ref="AQ18:AQ32">POWER(C18-X18,2)/X18</f>
        <v>0.05570238151291448</v>
      </c>
      <c r="AR18">
        <f aca="true" t="shared" si="6" ref="AR18:AR32">IF(X18&lt;4,1,0)</f>
        <v>1</v>
      </c>
      <c r="AS18">
        <f aca="true" t="shared" si="7" ref="AS18:AS32">POWER(C18-X18,2)</f>
        <v>0.04401602399604818</v>
      </c>
      <c r="AT18">
        <f aca="true" t="shared" si="8" ref="AT18:AT32">AR18*X18</f>
        <v>0.7902000381409754</v>
      </c>
      <c r="AU18">
        <f aca="true" t="shared" si="9" ref="AU18:AU32">IF(AR18=1,C18,0)</f>
        <v>1</v>
      </c>
      <c r="AV18">
        <f aca="true" t="shared" si="10" ref="AV18:AV32">IF(AR18=0,AQ18,0)</f>
        <v>0</v>
      </c>
      <c r="AW18">
        <f aca="true" t="shared" si="11" ref="AW18:AW32">IF(AV18&gt;0.00001,1,0)</f>
        <v>0</v>
      </c>
      <c r="AX18" s="53">
        <f>100*(C19+C20+C23+C24+C27+C28+C31+C32)/C33</f>
        <v>83.05785123966942</v>
      </c>
      <c r="AY18" s="53">
        <f>100*(X19+X20+X23+X24+X27+X28+X31+X32)/X33</f>
        <v>83.00999587568931</v>
      </c>
      <c r="AZ18" s="53" t="s">
        <v>94</v>
      </c>
      <c r="BA18" s="2"/>
    </row>
    <row r="19" spans="1:53" ht="12.75">
      <c r="A19" s="2"/>
      <c r="B19" s="16" t="s">
        <v>9</v>
      </c>
      <c r="C19">
        <v>1</v>
      </c>
      <c r="G19" s="19">
        <f>(1-e1_)*(e2_)*(1-e3_)*(1-e4_)*a___</f>
        <v>0</v>
      </c>
      <c r="H19" s="4">
        <f>(1-e1_)*(e2_)*(e3_)*(1-e4_)*a__1</f>
        <v>0</v>
      </c>
      <c r="I19" s="4">
        <f>(1-e1_)*(1-e2_)*(1-e3_)*(1-e4_)*a_1_</f>
        <v>0</v>
      </c>
      <c r="J19" s="4">
        <f>(1-e1_)*(1-e2_)*(e3_)*(1-e4_)*a_11</f>
        <v>0</v>
      </c>
      <c r="K19" s="4">
        <f>(e1_)*(e2_)*(1-e3_)*(1-e4_)*a1__</f>
        <v>8.979374365474335E-05</v>
      </c>
      <c r="L19" s="4">
        <f>(e1_)*(e2_)*(e3_)*(1-e4_)*a1_1</f>
        <v>0</v>
      </c>
      <c r="M19" s="4">
        <f>(e1_)*(1-e2_)*(1-e3_)*(1-e4_)*a11_</f>
        <v>0.005076282977839154</v>
      </c>
      <c r="N19" s="27">
        <f>(e1_)*(1-e2_)*(e3_)*(1-e4_)*a_111</f>
        <v>0</v>
      </c>
      <c r="O19" s="4">
        <f>(1-e1_)*(e2_)*(1-e3_)*(e4_)*a___1</f>
        <v>0.0003810812896126803</v>
      </c>
      <c r="P19" s="4">
        <f>(1-e1_)*(e2_)*(e3_)*(e4_)*a__11</f>
        <v>0</v>
      </c>
      <c r="Q19" s="4">
        <f>(1-e1_)*(1-e2_)*(1-e3_)*(e4_)*a_1_1</f>
        <v>0</v>
      </c>
      <c r="R19" s="4">
        <f>(1-e1_)*(1-e2_)*(e3_)*(e4_)*a__111</f>
        <v>0</v>
      </c>
      <c r="S19" s="4">
        <f>(e1_)*(e2_)*(1-e3_)*(e4_)*a1__1</f>
        <v>0</v>
      </c>
      <c r="T19" s="4">
        <f>(e1_)*(e2_)*(e3_)*(e4_)*a1_11</f>
        <v>0</v>
      </c>
      <c r="U19" s="4">
        <f>(e1_)*(1-e2_)*(1-e3_)*(e4_)*a11_1</f>
        <v>0</v>
      </c>
      <c r="V19" s="17">
        <f>(e1_)*(1-e2_)*(e3_)*(e4_)*a_1111</f>
        <v>0</v>
      </c>
      <c r="W19" s="17">
        <f t="shared" si="3"/>
        <v>0.005547158011106577</v>
      </c>
      <c r="X19" s="18">
        <f t="shared" si="4"/>
        <v>1.3424122386877917</v>
      </c>
      <c r="Y19" s="18"/>
      <c r="Z19" s="19">
        <f>(1-e1_)*(e2_)*(1-e3_)*(1-e4_)*a___*(1-e1_)*(e2_)*(1-e3_)*(1-e4_)</f>
        <v>0</v>
      </c>
      <c r="AA19" s="4">
        <f>(1-e1_)*(e2_)*(e3_)*(1-e4_)*a__1*(1-e1_)*(e2_)*(e3_)*(1-e4_)</f>
        <v>0</v>
      </c>
      <c r="AB19" s="4">
        <f>(1-e1_)*(1-e2_)*(1-e3_)*(1-e4_)*a_1_*(1-e1_)*(1-e2_)*(1-e3_)*(1-e4_)</f>
        <v>0</v>
      </c>
      <c r="AC19" s="4">
        <f>(1-e1_)*(1-e2_)*(e3_)*(1-e4_)*a_11*(1-e1_)*(1-e2_)*(e3_)*(1-e4_)</f>
        <v>0</v>
      </c>
      <c r="AD19" s="4">
        <f>(e1_)*(e2_)*(1-e3_)*(1-e4_)*a1__*(e1_)*(e2_)*(1-e3_)*(1-e4_)</f>
        <v>2.535721441977244E-07</v>
      </c>
      <c r="AE19" s="4">
        <f>(e1_)*(e2_)*(e3_)*(1-e4_)*a1_1*(e1_)*(e2_)*(e3_)*(1-e4_)</f>
        <v>0</v>
      </c>
      <c r="AF19" s="4">
        <f>(e1_)*(1-e2_)*(1-e3_)*(1-e4_)*a11_*(e1_)*(1-e2_)*(1-e3_)*(1-e4_)</f>
        <v>0.00019779754791751988</v>
      </c>
      <c r="AG19" s="4">
        <f>(e1_)*(1-e2_)*(e3_)*(1-e4_)*a_111*(e1_)*(1-e2_)*(e3_)*(1-e4_)</f>
        <v>0</v>
      </c>
      <c r="AH19" s="19">
        <f>(1-e1_)*(e2_)*(1-e3_)*(e4_)*a___1*(1-e1_)*(e2_)*(1-e3_)*(e4_)</f>
        <v>3.418163606513384E-06</v>
      </c>
      <c r="AI19" s="17">
        <f>(1-e1_)*(e2_)*(e3_)*(e4_)*a__11*(1-e1_)*(e2_)*(e3_)*(e4_)</f>
        <v>0</v>
      </c>
      <c r="AJ19" s="4">
        <f>(1-e1_)*(1-e2_)*(1-e3_)*(e4_)*a_1_1*(1-e1_)*(1-e2_)*(1-e3_)*(e4_)</f>
        <v>0</v>
      </c>
      <c r="AK19" s="4">
        <f>(1-e1_)*(1-e2_)*(e3_)*(e4_)*a__111*(1-e1_)*(1-e2_)*(e3_)*(e4_)</f>
        <v>0</v>
      </c>
      <c r="AL19" s="4">
        <f>(e1_)*(e2_)*(1-e3_)*(e4_)*a1__1*(e1_)*(e2_)*(1-e3_)*(e4_)</f>
        <v>0</v>
      </c>
      <c r="AM19" s="4">
        <f>(e1_)*(e2_)*(e3_)*(e4_)*a1_11*(e1_)*(e2_)*(e3_)*(e4_)</f>
        <v>0</v>
      </c>
      <c r="AN19" s="4">
        <f>(e1_)*(1-e2_)*(1-e3_)*(e4_)*a11_1*(e1_)*(1-e2_)*(1-e3_)*(e4_)</f>
        <v>0</v>
      </c>
      <c r="AO19" s="4">
        <f>(e1_)*(1-e2_)*(e3_)*(e4_)*a_1111*(e1_)*(1-e2_)*(e3_)*(e4_)</f>
        <v>0</v>
      </c>
      <c r="AP19" s="6">
        <f t="shared" si="2"/>
        <v>0.00020146928366823099</v>
      </c>
      <c r="AQ19">
        <f t="shared" si="5"/>
        <v>0.08733989293616197</v>
      </c>
      <c r="AR19">
        <f t="shared" si="6"/>
        <v>1</v>
      </c>
      <c r="AS19">
        <f t="shared" si="7"/>
        <v>0.11724614120318523</v>
      </c>
      <c r="AT19">
        <f t="shared" si="8"/>
        <v>1.3424122386877917</v>
      </c>
      <c r="AU19">
        <f t="shared" si="9"/>
        <v>1</v>
      </c>
      <c r="AV19">
        <f t="shared" si="10"/>
        <v>0</v>
      </c>
      <c r="AW19">
        <f t="shared" si="11"/>
        <v>0</v>
      </c>
      <c r="AX19" s="53">
        <f>100*(C18+C20+C22+C24+C26+C28+C30+C32)/C33</f>
        <v>80.57851239669421</v>
      </c>
      <c r="AY19" s="53">
        <f>100*(X18+X20+X22+X24+X26+X28+X30+X32)/X33</f>
        <v>79.54391107996746</v>
      </c>
      <c r="AZ19" s="53" t="s">
        <v>95</v>
      </c>
      <c r="BA19" s="2"/>
    </row>
    <row r="20" spans="1:53" ht="12.75">
      <c r="A20" s="2"/>
      <c r="B20" s="16" t="s">
        <v>10</v>
      </c>
      <c r="C20">
        <v>3</v>
      </c>
      <c r="G20" s="19">
        <f>(1-e1_)*(e2_)*(e3_)*(1-e4_)*a___</f>
        <v>0</v>
      </c>
      <c r="H20" s="4">
        <f>(1-e1_)*(e2_)*(1-e3_)*(1-e4_)*a__1</f>
        <v>0</v>
      </c>
      <c r="I20" s="4">
        <f>(1-e1_)*(1-e2_)*(e3_)*(1-e4_)*a_1_</f>
        <v>0</v>
      </c>
      <c r="J20" s="4">
        <f>(1-e1_)*(1-e2_)*(1-e3_)*(1-e4_)*a_11</f>
        <v>0</v>
      </c>
      <c r="K20" s="4">
        <f>(e1_)*(e2_)*(e3_)*(1-e4_)*a1__</f>
        <v>0</v>
      </c>
      <c r="L20" s="4">
        <f>(e1_)*(e2_)*(1-e3_)*(1-e4_)*a1_1</f>
        <v>0.00012434179598354373</v>
      </c>
      <c r="M20" s="4">
        <f>(e1_)*(1-e2_)*(e3_)*(1-e4_)*a11_</f>
        <v>0</v>
      </c>
      <c r="N20" s="27">
        <f>(e1_)*(1-e2_)*(1-e3_)*(1-e4_)*a_111</f>
        <v>0.019853604366366538</v>
      </c>
      <c r="O20" s="4">
        <f>(1-e1_)*(e2_)*(e3_)*(e4_)*a___1</f>
        <v>0</v>
      </c>
      <c r="P20" s="4">
        <f>(1-e1_)*(e2_)*(1-e3_)*(e4_)*a__11</f>
        <v>0</v>
      </c>
      <c r="Q20" s="4">
        <f>(1-e1_)*(1-e2_)*(e3_)*(e4_)*a_1_1</f>
        <v>0</v>
      </c>
      <c r="R20" s="4">
        <f>(1-e1_)*(1-e2_)*(1-e3_)*(e4_)*a__111</f>
        <v>0</v>
      </c>
      <c r="S20" s="4">
        <f>(e1_)*(e2_)*(e3_)*(e4_)*a1__1</f>
        <v>0</v>
      </c>
      <c r="T20" s="4">
        <f>(e1_)*(e2_)*(1-e3_)*(e4_)*a1_11</f>
        <v>0</v>
      </c>
      <c r="U20" s="4">
        <f>(e1_)*(1-e2_)*(e3_)*(e4_)*a11_1</f>
        <v>0</v>
      </c>
      <c r="V20" s="17">
        <f>(e1_)*(1-e2_)*(1-e3_)*(e4_)*a_1111</f>
        <v>0.0015280521779710988</v>
      </c>
      <c r="W20" s="17">
        <f t="shared" si="3"/>
        <v>0.02150599834032118</v>
      </c>
      <c r="X20" s="18">
        <f t="shared" si="4"/>
        <v>5.204451598357726</v>
      </c>
      <c r="Y20" s="18"/>
      <c r="Z20" s="19">
        <f>(1-e1_)*(e2_)*(e3_)*(1-e4_)*a___*(1-e1_)*(e2_)*(e3_)*(1-e4_)</f>
        <v>0</v>
      </c>
      <c r="AA20" s="4">
        <f>(1-e1_)*(e2_)*(1-e3_)*(1-e4_)*a__1*(1-e1_)*(e2_)*(1-e3_)*(1-e4_)</f>
        <v>0</v>
      </c>
      <c r="AB20" s="4">
        <f>(1-e1_)*(1-e2_)*(e3_)*(1-e4_)*a_1_*(1-e1_)*(1-e2_)*(e3_)*(1-e4_)</f>
        <v>0</v>
      </c>
      <c r="AC20" s="4">
        <f>(1-e1_)*(1-e2_)*(1-e3_)*(1-e4_)*a_11*(1-e1_)*(1-e2_)*(1-e3_)*(1-e4_)</f>
        <v>0</v>
      </c>
      <c r="AD20" s="4">
        <f>(e1_)*(e2_)*(e3_)*(1-e4_)*a1__*(e1_)*(e2_)*(e3_)*(1-e4_)</f>
        <v>0</v>
      </c>
      <c r="AE20" s="4">
        <f>(e1_)*(e2_)*(1-e3_)*(1-e4_)*a1_1*(e1_)*(e2_)*(1-e3_)*(1-e4_)</f>
        <v>3.51133770991601E-07</v>
      </c>
      <c r="AF20" s="4">
        <f>(e1_)*(1-e2_)*(e3_)*(1-e4_)*a11_*(e1_)*(1-e2_)*(e3_)*(1-e4_)</f>
        <v>0</v>
      </c>
      <c r="AG20" s="4">
        <f>(e1_)*(1-e2_)*(1-e3_)*(1-e4_)*a_111*(e1_)*(1-e2_)*(1-e3_)*(1-e4_)</f>
        <v>0.0007735964047188501</v>
      </c>
      <c r="AH20" s="19">
        <f>(1-e1_)*(e2_)*(e3_)*(e4_)*a___1*(1-e1_)*(e2_)*(e3_)*(e4_)</f>
        <v>0</v>
      </c>
      <c r="AI20" s="17">
        <f>(1-e1_)*(e2_)*(1-e3_)*(e4_)*a__11*(1-e1_)*(e2_)*(1-e3_)*(e4_)</f>
        <v>0</v>
      </c>
      <c r="AJ20" s="4">
        <f>(1-e1_)*(1-e2_)*(e3_)*(e4_)*a_1_1*(1-e1_)*(1-e2_)*(e3_)*(e4_)</f>
        <v>0</v>
      </c>
      <c r="AK20" s="4">
        <f>(1-e1_)*(1-e2_)*(1-e3_)*(e4_)*a__111*(1-e1_)*(1-e2_)*(1-e3_)*(e4_)</f>
        <v>0</v>
      </c>
      <c r="AL20" s="4">
        <f>(e1_)*(e2_)*(e3_)*(e4_)*a1__1*(e1_)*(e2_)*(e3_)*(e4_)</f>
        <v>0</v>
      </c>
      <c r="AM20" s="4">
        <f>(e1_)*(e2_)*(1-e3_)*(e4_)*a1_11*(e1_)*(e2_)*(1-e3_)*(e4_)</f>
        <v>0</v>
      </c>
      <c r="AN20" s="4">
        <f>(e1_)*(1-e2_)*(e3_)*(e4_)*a11_1*(e1_)*(1-e2_)*(e3_)*(e4_)</f>
        <v>0</v>
      </c>
      <c r="AO20" s="4">
        <f>(e1_)*(1-e2_)*(1-e3_)*(e4_)*a_1111*(e1_)*(1-e2_)*(1-e3_)*(e4_)</f>
        <v>9.653145101691617E-06</v>
      </c>
      <c r="AP20" s="6">
        <f t="shared" si="2"/>
        <v>0.0007836006835915333</v>
      </c>
      <c r="AQ20">
        <f t="shared" si="5"/>
        <v>0.9337404254149255</v>
      </c>
      <c r="AR20">
        <f t="shared" si="6"/>
        <v>0</v>
      </c>
      <c r="AS20">
        <f t="shared" si="7"/>
        <v>4.859606849501932</v>
      </c>
      <c r="AT20">
        <f t="shared" si="8"/>
        <v>0</v>
      </c>
      <c r="AU20">
        <f t="shared" si="9"/>
        <v>0</v>
      </c>
      <c r="AV20">
        <f t="shared" si="10"/>
        <v>0.9337404254149255</v>
      </c>
      <c r="AW20">
        <f t="shared" si="11"/>
        <v>1</v>
      </c>
      <c r="AX20" s="53">
        <f>100*(C25+C26+C27+C28+C29+C30+C31+C32)/C33</f>
        <v>35.12396694214876</v>
      </c>
      <c r="AY20" s="53">
        <f>100*(X25+X26+X27+X28+X29+X30+X31+X32)/X33</f>
        <v>34.453452787278344</v>
      </c>
      <c r="AZ20" s="53" t="s">
        <v>96</v>
      </c>
      <c r="BA20" s="2"/>
    </row>
    <row r="21" spans="1:53" ht="12.75">
      <c r="A21" s="2"/>
      <c r="B21" s="3" t="s">
        <v>11</v>
      </c>
      <c r="C21">
        <v>6</v>
      </c>
      <c r="G21" s="19">
        <f>(e1_)*(1-e2_)*(1-e3_)*(1-e4_)*a___</f>
        <v>0</v>
      </c>
      <c r="H21" s="4">
        <f>(e1_)*(1-e2_)*(e3_)*(1-e4_)*a__1</f>
        <v>0</v>
      </c>
      <c r="I21" s="4">
        <f>(e1_)*(e2_)*(1-e3_)*(1-e4_)*a_1_</f>
        <v>0</v>
      </c>
      <c r="J21" s="4">
        <f>(e1_)*(e2_)*(e3_)*(1-e4_)*a_11</f>
        <v>0</v>
      </c>
      <c r="K21" s="4">
        <f>(1-e1_)*(1-e2_)*(1-e3_)*(1-e4_)*a1__</f>
        <v>0.024273358921201266</v>
      </c>
      <c r="L21" s="4">
        <f>(1-e1_)*(1-e2_)*(e3_)*(1-e4_)*a1_1</f>
        <v>0</v>
      </c>
      <c r="M21" s="4">
        <f>(1-e1_)*(e2_)*(1-e3_)*(1-e4_)*a11_</f>
        <v>0.0072075952999057615</v>
      </c>
      <c r="N21" s="27">
        <f>(1-e1_)*(e2_)*(e3_)*(1-e4_)*a_111</f>
        <v>0</v>
      </c>
      <c r="O21" s="4">
        <f>(e1_)*(1-e2_)*(1-e3_)*(e4_)*a___1</f>
        <v>0.0002683941568776946</v>
      </c>
      <c r="P21" s="4">
        <f>(e1_)*(1-e2_)*(e3_)*(e4_)*a__11</f>
        <v>0</v>
      </c>
      <c r="Q21" s="4">
        <f>(e1_)*(e2_)*(1-e3_)*(e4_)*a_1_1</f>
        <v>0</v>
      </c>
      <c r="R21" s="4">
        <f>(e1_)*(e2_)*(e3_)*(e4_)*a__111</f>
        <v>0</v>
      </c>
      <c r="S21" s="4">
        <f>(1-e1_)*(1-e2_)*(1-e3_)*(e4_)*a1__1</f>
        <v>0</v>
      </c>
      <c r="T21" s="4">
        <f>(1-e1_)*(1-e2_)*(e3_)*(e4_)*a1_11</f>
        <v>0</v>
      </c>
      <c r="U21" s="4">
        <f>(1-e1_)*(e2_)*(1-e3_)*(e4_)*a11_1</f>
        <v>0</v>
      </c>
      <c r="V21" s="17">
        <f>(1-e1_)*(e2_)*(e3_)*(e4_)*a_1111</f>
        <v>0</v>
      </c>
      <c r="W21" s="17">
        <f t="shared" si="3"/>
        <v>0.031749348377984724</v>
      </c>
      <c r="X21" s="18">
        <f t="shared" si="4"/>
        <v>7.683342307472303</v>
      </c>
      <c r="Y21" s="18"/>
      <c r="Z21" s="19">
        <f>(e1_)*(1-e2_)*(1-e3_)*(1-e4_)*a___*(e1_)*(1-e2_)*(1-e3_)*(1-e4_)</f>
        <v>0</v>
      </c>
      <c r="AA21" s="4">
        <f>(e1_)*(1-e2_)*(e3_)*(1-e4_)*a__1*(e1_)*(1-e2_)*(e3_)*(1-e4_)</f>
        <v>0</v>
      </c>
      <c r="AB21" s="4">
        <f>(e1_)*(e2_)*(1-e3_)*(1-e4_)*a_1_*(e1_)*(e2_)*(1-e3_)*(1-e4_)</f>
        <v>0</v>
      </c>
      <c r="AC21" s="4">
        <f>(e1_)*(e2_)*(e3_)*(1-e4_)*a_11*(e1_)*(e2_)*(e3_)*(1-e4_)</f>
        <v>0</v>
      </c>
      <c r="AD21" s="4">
        <f>(1-e1_)*(1-e2_)*(1-e3_)*(1-e4_)*a1__*(1-e1_)*(1-e2_)*(1-e3_)*(1-e4_)</f>
        <v>0.01852973215051197</v>
      </c>
      <c r="AE21" s="4">
        <f>(1-e1_)*(1-e2_)*(e3_)*(1-e4_)*a1_1*(1-e1_)*(1-e2_)*(e3_)*(1-e4_)</f>
        <v>0</v>
      </c>
      <c r="AF21" s="4">
        <f>(1-e1_)*(e2_)*(1-e3_)*(1-e4_)*a11_*(1-e1_)*(e2_)*(1-e3_)*(1-e4_)</f>
        <v>0.00039875858150506164</v>
      </c>
      <c r="AG21" s="4">
        <f>(1-e1_)*(e2_)*(e3_)*(1-e4_)*a_111*(1-e1_)*(e2_)*(e3_)*(1-e4_)</f>
        <v>0</v>
      </c>
      <c r="AH21" s="19">
        <f>(e1_)*(1-e2_)*(1-e3_)*(e4_)*a___1*(e1_)*(1-e2_)*(1-e3_)*(e4_)</f>
        <v>1.6955230836597594E-06</v>
      </c>
      <c r="AI21" s="17">
        <f>(e1_)*(1-e2_)*(e3_)*(e4_)*a__11*(e1_)*(1-e2_)*(e3_)*(e4_)</f>
        <v>0</v>
      </c>
      <c r="AJ21" s="4">
        <f>(e1_)*(e2_)*(1-e3_)*(e4_)*a_1_1*(e1_)*(e2_)*(1-e3_)*(e4_)</f>
        <v>0</v>
      </c>
      <c r="AK21" s="4">
        <f>(e1_)*(e2_)*(e3_)*(e4_)*a__111*(e1_)*(e2_)*(e3_)*(e4_)</f>
        <v>0</v>
      </c>
      <c r="AL21" s="4">
        <f>(1-e1_)*(1-e2_)*(1-e3_)*(e4_)*a1__1*(1-e1_)*(1-e2_)*(1-e3_)*(e4_)</f>
        <v>0</v>
      </c>
      <c r="AM21" s="4">
        <f>(1-e1_)*(1-e2_)*(e3_)*(e4_)*a1_11*(1-e1_)*(1-e2_)*(e3_)*(e4_)</f>
        <v>0</v>
      </c>
      <c r="AN21" s="4">
        <f>(1-e1_)*(e2_)*(1-e3_)*(e4_)*a11_1*(1-e1_)*(e2_)*(1-e3_)*(e4_)</f>
        <v>0</v>
      </c>
      <c r="AO21" s="4">
        <f>(1-e1_)*(e2_)*(e3_)*(e4_)*a_1111*(1-e1_)*(e2_)*(e3_)*(e4_)</f>
        <v>0</v>
      </c>
      <c r="AP21" s="6">
        <f t="shared" si="2"/>
        <v>0.018930186255100692</v>
      </c>
      <c r="AQ21">
        <f t="shared" si="5"/>
        <v>0.3688032122908762</v>
      </c>
      <c r="AR21">
        <f t="shared" si="6"/>
        <v>0</v>
      </c>
      <c r="AS21">
        <f t="shared" si="7"/>
        <v>2.8336413241261784</v>
      </c>
      <c r="AT21">
        <f t="shared" si="8"/>
        <v>0</v>
      </c>
      <c r="AU21">
        <f t="shared" si="9"/>
        <v>0</v>
      </c>
      <c r="AV21">
        <f t="shared" si="10"/>
        <v>0.3688032122908762</v>
      </c>
      <c r="AW21">
        <f t="shared" si="11"/>
        <v>1</v>
      </c>
      <c r="BA21" s="2"/>
    </row>
    <row r="22" spans="1:53" s="15" customFormat="1" ht="12.75">
      <c r="A22" s="32"/>
      <c r="B22" s="16" t="s">
        <v>12</v>
      </c>
      <c r="C22">
        <v>15</v>
      </c>
      <c r="D22"/>
      <c r="E22"/>
      <c r="F22"/>
      <c r="G22" s="19">
        <f>(e1_)*(1-e2_)*(e3_)*(1-e4_)*a___</f>
        <v>0</v>
      </c>
      <c r="H22" s="17">
        <f>(e1_)*(1-e2_)*(1-e3_)*(1-e4_)*a__1</f>
        <v>0</v>
      </c>
      <c r="I22" s="17">
        <f>(e1_)*(e2_)*(e3_)*(1-e4_)*a_1_</f>
        <v>0</v>
      </c>
      <c r="J22" s="17">
        <f>(e1_)*(e2_)*(1-e3_)*(1-e4_)*a_11</f>
        <v>0</v>
      </c>
      <c r="K22" s="17">
        <f>(1-e1_)*(1-e2_)*(e3_)*(1-e4_)*a1__</f>
        <v>0</v>
      </c>
      <c r="L22" s="17">
        <f>(1-e1_)*(1-e2_)*(1-e3_)*(1-e4_)*a1_1</f>
        <v>0.03361250929040537</v>
      </c>
      <c r="M22" s="17">
        <f>(1-e1_)*(e2_)*(e3_)*(1-e4_)*a11_</f>
        <v>0</v>
      </c>
      <c r="N22" s="27">
        <f>(1-e1_)*(e2_)*(1-e3_)*(1-e4_)*a_111</f>
        <v>0.028189276709338344</v>
      </c>
      <c r="O22" s="17">
        <f>(e1_)*(1-e2_)*(e3_)*(e4_)*a___1</f>
        <v>0</v>
      </c>
      <c r="P22" s="17">
        <f>(e1_)*(1-e2_)*(1-e3_)*(e4_)*a__11</f>
        <v>0</v>
      </c>
      <c r="Q22" s="17">
        <f>(e1_)*(e2_)*(e3_)*(e4_)*a_1_1</f>
        <v>0</v>
      </c>
      <c r="R22" s="17">
        <f>(e1_)*(e2_)*(1-e3_)*(e4_)*a__111</f>
        <v>0</v>
      </c>
      <c r="S22" s="17">
        <f>(1-e1_)*(1-e2_)*(e3_)*(e4_)*a1__1</f>
        <v>0</v>
      </c>
      <c r="T22" s="17">
        <f>(1-e1_)*(1-e2_)*(1-e3_)*(e4_)*a1_11</f>
        <v>0</v>
      </c>
      <c r="U22" s="17">
        <f>(1-e1_)*(e2_)*(e3_)*(e4_)*a11_1</f>
        <v>0</v>
      </c>
      <c r="V22" s="17">
        <f>(1-e1_)*(e2_)*(1-e3_)*(e4_)*a_1111</f>
        <v>0.0021696153945782314</v>
      </c>
      <c r="W22" s="17">
        <f t="shared" si="3"/>
        <v>0.06397140139432195</v>
      </c>
      <c r="X22" s="18">
        <f t="shared" si="4"/>
        <v>15.481079137425912</v>
      </c>
      <c r="Y22" s="18"/>
      <c r="Z22" s="19">
        <f>(e1_)*(1-e2_)*(e3_)*(1-e4_)*a___*(e1_)*(1-e2_)*(e3_)*(1-e4_)</f>
        <v>0</v>
      </c>
      <c r="AA22" s="4">
        <f>(e1_)*(1-e2_)*(1-e3_)*(1-e4_)*a__1*(e1_)*(1-e2_)*(1-e3_)*(1-e4_)</f>
        <v>0</v>
      </c>
      <c r="AB22" s="4">
        <f>(e1_)*(e2_)*(e3_)*(1-e4_)*a_1_*(e1_)*(e2_)*(e3_)*(1-e4_)</f>
        <v>0</v>
      </c>
      <c r="AC22" s="17">
        <f>(e1_)*(e2_)*(1-e3_)*(1-e4_)*a_11*(e1_)*(e2_)*(1-e3_)*(1-e4_)</f>
        <v>0</v>
      </c>
      <c r="AD22" s="17">
        <f>(1-e1_)*(1-e2_)*(e3_)*(1-e4_)*a1__*(1-e1_)*(1-e2_)*(e3_)*(1-e4_)</f>
        <v>0</v>
      </c>
      <c r="AE22" s="17">
        <f>(1-e1_)*(1-e2_)*(1-e3_)*(1-e4_)*a1_1*(1-e1_)*(1-e2_)*(1-e3_)*(1-e4_)</f>
        <v>0.02565902791120527</v>
      </c>
      <c r="AF22" s="17">
        <f>(1-e1_)*(e2_)*(e3_)*(1-e4_)*a11_*(1-e1_)*(e2_)*(e3_)*(1-e4_)</f>
        <v>0</v>
      </c>
      <c r="AG22" s="17">
        <f>(1-e1_)*(e2_)*(1-e3_)*(1-e4_)*a_111*(1-e1_)*(e2_)*(1-e3_)*(1-e4_)</f>
        <v>0.0015595653649444496</v>
      </c>
      <c r="AH22" s="19">
        <f>(e1_)*(1-e2_)*(e3_)*(e4_)*a___1*(e1_)*(1-e2_)*(e3_)*(e4_)</f>
        <v>0</v>
      </c>
      <c r="AI22" s="17">
        <f>(e1_)*(1-e2_)*(1-e3_)*(e4_)*a__11*(e1_)*(1-e2_)*(1-e3_)*(e4_)</f>
        <v>0</v>
      </c>
      <c r="AJ22" s="17">
        <f>(e1_)*(e2_)*(e3_)*(e4_)*a_1_1*(e1_)*(e2_)*(e3_)*(e4_)</f>
        <v>0</v>
      </c>
      <c r="AK22" s="17">
        <f>(e1_)*(e2_)*(1-e3_)*(e4_)*a__111*(e1_)*(e2_)*(1-e3_)*(e4_)</f>
        <v>0</v>
      </c>
      <c r="AL22" s="17">
        <f>(1-e1_)*(1-e2_)*(e3_)*(e4_)*a1__1*(1-e1_)*(1-e2_)*(e3_)*(e4_)</f>
        <v>0</v>
      </c>
      <c r="AM22" s="17">
        <f>(1-e1_)*(1-e2_)*(1-e3_)*(e4_)*a1_11*(1-e1_)*(1-e2_)*(1-e3_)*(e4_)</f>
        <v>0</v>
      </c>
      <c r="AN22" s="17">
        <f>(1-e1_)*(e2_)*(e3_)*(e4_)*a11_1*(1-e1_)*(e2_)*(e3_)*(e4_)</f>
        <v>0</v>
      </c>
      <c r="AO22" s="17">
        <f>(1-e1_)*(e2_)*(1-e3_)*(e4_)*a_1111*(1-e1_)*(e2_)*(1-e3_)*(e4_)</f>
        <v>1.9460678296265845E-05</v>
      </c>
      <c r="AP22" s="6">
        <f t="shared" si="2"/>
        <v>0.027238053954445982</v>
      </c>
      <c r="AQ22">
        <f t="shared" si="5"/>
        <v>0.014949677242263688</v>
      </c>
      <c r="AR22">
        <f t="shared" si="6"/>
        <v>0</v>
      </c>
      <c r="AS22">
        <f t="shared" si="7"/>
        <v>0.23143713646645933</v>
      </c>
      <c r="AT22">
        <f t="shared" si="8"/>
        <v>0</v>
      </c>
      <c r="AU22">
        <f t="shared" si="9"/>
        <v>0</v>
      </c>
      <c r="AV22">
        <f t="shared" si="10"/>
        <v>0.014949677242263688</v>
      </c>
      <c r="AW22">
        <f t="shared" si="11"/>
        <v>1</v>
      </c>
      <c r="BA22" s="32"/>
    </row>
    <row r="23" spans="1:53" s="15" customFormat="1" ht="12.75">
      <c r="A23" s="32"/>
      <c r="B23" s="16" t="s">
        <v>13</v>
      </c>
      <c r="C23">
        <v>25</v>
      </c>
      <c r="D23"/>
      <c r="E23"/>
      <c r="F23"/>
      <c r="G23" s="19">
        <f>(e1_)*(e2_)*(1-e3_)*(1-e4_)*a___</f>
        <v>0</v>
      </c>
      <c r="H23" s="17">
        <f>(e1_)*(e2_)*(e3_)*(1-e4_)*a__1</f>
        <v>0</v>
      </c>
      <c r="I23" s="17">
        <f>(e1_)*(1-e2_)*(1-e3_)*(1-e4_)*a_1_</f>
        <v>0</v>
      </c>
      <c r="J23" s="17">
        <f>(e1_)*(1-e2_)*(e3_)*(1-e4_)*a_11</f>
        <v>0</v>
      </c>
      <c r="K23" s="17">
        <f>(1-e1_)*(e2_)*(1-e3_)*(1-e4_)*a1__</f>
        <v>0.0017591799347861034</v>
      </c>
      <c r="L23" s="17">
        <f>(1-e1_)*(e2_)*(e3_)*(1-e4_)*a1_1</f>
        <v>0</v>
      </c>
      <c r="M23" s="17">
        <f>(1-e1_)*(1-e2_)*(1-e3_)*(1-e4_)*a11_</f>
        <v>0.09945119553370084</v>
      </c>
      <c r="N23" s="27">
        <f>(1-e1_)*(1-e2_)*(e3_)*(1-e4_)*a_111</f>
        <v>0</v>
      </c>
      <c r="O23" s="17">
        <f>(e1_)*(e2_)*(1-e3_)*(e4_)*a___1</f>
        <v>1.9451515421735773E-05</v>
      </c>
      <c r="P23" s="17">
        <f>(e1_)*(e2_)*(e3_)*(e4_)*a__11</f>
        <v>0</v>
      </c>
      <c r="Q23" s="17">
        <f>(e1_)*(1-e2_)*(1-e3_)*(e4_)*a_1_1</f>
        <v>0</v>
      </c>
      <c r="R23" s="17">
        <f>(e1_)*(1-e2_)*(e3_)*(e4_)*a__111</f>
        <v>0</v>
      </c>
      <c r="S23" s="17">
        <f>(1-e1_)*(e2_)*(1-e3_)*(e4_)*a1__1</f>
        <v>0</v>
      </c>
      <c r="T23" s="17">
        <f>(1-e1_)*(e2_)*(e3_)*(e4_)*a1_11</f>
        <v>0</v>
      </c>
      <c r="U23" s="17">
        <f>(1-e1_)*(1-e2_)*(1-e3_)*(e4_)*a11_1</f>
        <v>0</v>
      </c>
      <c r="V23" s="17">
        <f>(1-e1_)*(1-e2_)*(e3_)*(e4_)*a_1111</f>
        <v>0</v>
      </c>
      <c r="W23" s="17">
        <f t="shared" si="3"/>
        <v>0.10122982698390869</v>
      </c>
      <c r="X23" s="18">
        <f t="shared" si="4"/>
        <v>24.497618130105902</v>
      </c>
      <c r="Y23" s="18"/>
      <c r="Z23" s="19">
        <f>(e1_)*(e2_)*(1-e3_)*(1-e4_)*a___*(e1_)*(e2_)*(1-e3_)*(1-e4_)</f>
        <v>0</v>
      </c>
      <c r="AA23" s="4">
        <f>(e1_)*(e2_)*(e3_)*(1-e4_)*a__1*(e1_)*(e2_)*(e3_)*(1-e4_)</f>
        <v>0</v>
      </c>
      <c r="AB23" s="4">
        <f>(e1_)*(1-e2_)*(1-e3_)*(1-e4_)*a_1_*(e1_)*(1-e2_)*(1-e3_)*(1-e4_)</f>
        <v>0</v>
      </c>
      <c r="AC23" s="17">
        <f>(e1_)*(1-e2_)*(e3_)*(1-e4_)*a_11*(e1_)*(1-e2_)*(e3_)*(1-e4_)</f>
        <v>0</v>
      </c>
      <c r="AD23" s="17">
        <f>(1-e1_)*(e2_)*(1-e3_)*(1-e4_)*a1__*(1-e1_)*(e2_)*(1-e3_)*(1-e4_)</f>
        <v>9.73262324282615E-05</v>
      </c>
      <c r="AE23" s="17">
        <f>(1-e1_)*(e2_)*(e3_)*(1-e4_)*a1_1*(1-e1_)*(e2_)*(e3_)*(1-e4_)</f>
        <v>0</v>
      </c>
      <c r="AF23" s="17">
        <f>(1-e1_)*(1-e2_)*(1-e3_)*(1-e4_)*a11_*(1-e1_)*(1-e2_)*(1-e3_)*(1-e4_)</f>
        <v>0.07591878904233952</v>
      </c>
      <c r="AG23" s="17">
        <f>(1-e1_)*(1-e2_)*(e3_)*(1-e4_)*a_111*(1-e1_)*(1-e2_)*(e3_)*(1-e4_)</f>
        <v>0</v>
      </c>
      <c r="AH23" s="19">
        <f>(e1_)*(e2_)*(1-e3_)*(e4_)*a___1*(e1_)*(e2_)*(1-e3_)*(e4_)</f>
        <v>8.905626502711912E-09</v>
      </c>
      <c r="AI23" s="17">
        <f>(e1_)*(e2_)*(e3_)*(e4_)*a__11*(e1_)*(e2_)*(e3_)*(e4_)</f>
        <v>0</v>
      </c>
      <c r="AJ23" s="17">
        <f>(e1_)*(1-e2_)*(1-e3_)*(e4_)*a_1_1*(e1_)*(1-e2_)*(1-e3_)*(e4_)</f>
        <v>0</v>
      </c>
      <c r="AK23" s="17">
        <f>(e1_)*(1-e2_)*(e3_)*(e4_)*a__111*(e1_)*(1-e2_)*(e3_)*(e4_)</f>
        <v>0</v>
      </c>
      <c r="AL23" s="17">
        <f>(1-e1_)*(e2_)*(1-e3_)*(e4_)*a1__1*(1-e1_)*(e2_)*(1-e3_)*(e4_)</f>
        <v>0</v>
      </c>
      <c r="AM23" s="17">
        <f>(1-e1_)*(e2_)*(e3_)*(e4_)*a1_11*(1-e1_)*(e2_)*(e3_)*(e4_)</f>
        <v>0</v>
      </c>
      <c r="AN23" s="17">
        <f>(1-e1_)*(1-e2_)*(1-e3_)*(e4_)*a11_1*(1-e1_)*(1-e2_)*(1-e3_)*(e4_)</f>
        <v>0</v>
      </c>
      <c r="AO23" s="17">
        <f>(1-e1_)*(1-e2_)*(e3_)*(e4_)*a_1111*(1-e1_)*(1-e2_)*(e3_)*(e4_)</f>
        <v>0</v>
      </c>
      <c r="AP23" s="6">
        <f t="shared" si="2"/>
        <v>0.07601612418039429</v>
      </c>
      <c r="AQ23">
        <f t="shared" si="5"/>
        <v>0.010302533979339125</v>
      </c>
      <c r="AR23">
        <f t="shared" si="6"/>
        <v>0</v>
      </c>
      <c r="AS23">
        <f t="shared" si="7"/>
        <v>0.25238754319829027</v>
      </c>
      <c r="AT23">
        <f t="shared" si="8"/>
        <v>0</v>
      </c>
      <c r="AU23">
        <f t="shared" si="9"/>
        <v>0</v>
      </c>
      <c r="AV23">
        <f t="shared" si="10"/>
        <v>0.010302533979339125</v>
      </c>
      <c r="AW23">
        <f t="shared" si="11"/>
        <v>1</v>
      </c>
      <c r="BA23" s="32"/>
    </row>
    <row r="24" spans="1:53" s="11" customFormat="1" ht="15.75" customHeight="1" thickBot="1">
      <c r="A24" s="56"/>
      <c r="B24" s="12" t="s">
        <v>14</v>
      </c>
      <c r="C24">
        <v>104</v>
      </c>
      <c r="D24"/>
      <c r="E24"/>
      <c r="F24"/>
      <c r="G24" s="20">
        <f>(e1_)*(e2_)*(e3_)*(1-e4_)*a___</f>
        <v>0</v>
      </c>
      <c r="H24" s="13">
        <f>(e1_)*(e2_)*(1-e3_)*(1-e4_)*a__1</f>
        <v>0</v>
      </c>
      <c r="I24" s="13">
        <f>(e1_)*(1-e2_)*(e3_)*(1-e4_)*a_1_</f>
        <v>0</v>
      </c>
      <c r="J24" s="13">
        <f>(e1_)*(1-e2_)*(1-e3_)*(1-e4_)*a_11</f>
        <v>0</v>
      </c>
      <c r="K24" s="13">
        <f>(1-e1_)*(e2_)*(e3_)*(1-e4_)*a1__</f>
        <v>0</v>
      </c>
      <c r="L24" s="13">
        <f>(1-e1_)*(e2_)*(1-e3_)*(1-e4_)*a1_1</f>
        <v>0.0024360226408486813</v>
      </c>
      <c r="M24" s="13">
        <f>(1-e1_)*(1-e2_)*(e3_)*(1-e4_)*a11_</f>
        <v>0</v>
      </c>
      <c r="N24" s="28">
        <f>(1-e1_)*(1-e2_)*(1-e3_)*(1-e4_)*a_111</f>
        <v>0.3889587516117423</v>
      </c>
      <c r="O24" s="13">
        <f>(e1_)*(e2_)*(e3_)*(e4_)*a___1</f>
        <v>0</v>
      </c>
      <c r="P24" s="13">
        <f>(e1_)*(e2_)*(1-e3_)*(e4_)*a__11</f>
        <v>0</v>
      </c>
      <c r="Q24" s="13">
        <f>(e1_)*(1-e2_)*(e3_)*(e4_)*a_1_1</f>
        <v>0</v>
      </c>
      <c r="R24" s="13">
        <f>(e1_)*(1-e2_)*(1-e3_)*(e4_)*a__111</f>
        <v>0</v>
      </c>
      <c r="S24" s="13">
        <f>(1-e1_)*(e2_)*(e3_)*(e4_)*a1__1</f>
        <v>0</v>
      </c>
      <c r="T24" s="13">
        <f>(1-e1_)*(e2_)*(1-e3_)*(e4_)*a1_11</f>
        <v>0</v>
      </c>
      <c r="U24" s="13">
        <f>(1-e1_)*(1-e2_)*(e3_)*(e4_)*a11_1</f>
        <v>0</v>
      </c>
      <c r="V24" s="13">
        <f>(1-e1_)*(1-e2_)*(1-e3_)*(e4_)*a_1111</f>
        <v>0.029936592699918704</v>
      </c>
      <c r="W24" s="13">
        <f t="shared" si="3"/>
        <v>0.4213313669525097</v>
      </c>
      <c r="X24" s="14">
        <f t="shared" si="4"/>
        <v>101.96219080250735</v>
      </c>
      <c r="Y24" s="14"/>
      <c r="Z24" s="20">
        <f>(e1_)*(e2_)*(e3_)*(1-e4_)*a___*(e1_)*(e2_)*(e3_)*(1-e4_)</f>
        <v>0</v>
      </c>
      <c r="AA24" s="13">
        <f>(e1_)*(e2_)*(1-e3_)*(1-e4_)*a__1*(e1_)*(e2_)*(1-e3_)*(1-e4_)</f>
        <v>0</v>
      </c>
      <c r="AB24" s="13">
        <f>(e1_)*(1-e2_)*(e3_)*(1-e4_)*a_1_*(e1_)*(1-e2_)*(e3_)*(1-e4_)</f>
        <v>0</v>
      </c>
      <c r="AC24" s="13">
        <f>(e1_)*(1-e2_)*(1-e3_)*(1-e4_)*a_11*(e1_)*(1-e2_)*(1-e3_)*(1-e4_)</f>
        <v>0</v>
      </c>
      <c r="AD24" s="13">
        <f>(1-e1_)*(e2_)*(e3_)*(1-e4_)*a1__*(1-e1_)*(e2_)*(e3_)*(1-e4_)</f>
        <v>0</v>
      </c>
      <c r="AE24" s="13">
        <f>(1-e1_)*(e2_)*(1-e3_)*(1-e4_)*a1_1*(1-e1_)*(e2_)*(1-e3_)*(1-e4_)</f>
        <v>0.00013477240221738517</v>
      </c>
      <c r="AF24" s="13">
        <f>(1-e1_)*(1-e2_)*(e3_)*(1-e4_)*a11_*(1-e1_)*(1-e2_)*(e3_)*(1-e4_)</f>
        <v>0</v>
      </c>
      <c r="AG24" s="13">
        <f>(1-e1_)*(1-e2_)*(1-e3_)*(1-e4_)*a_111*(1-e1_)*(1-e2_)*(1-e3_)*(1-e4_)</f>
        <v>0.2969222969247974</v>
      </c>
      <c r="AH24" s="20">
        <f>(e1_)*(e2_)*(e3_)*(e4_)*a___1*(e1_)*(e2_)*(e3_)*(e4_)</f>
        <v>0</v>
      </c>
      <c r="AI24" s="13">
        <f>(e1_)*(e2_)*(1-e3_)*(e4_)*a__11*(e1_)*(e2_)*(1-e3_)*(e4_)</f>
        <v>0</v>
      </c>
      <c r="AJ24" s="13">
        <f>(e1_)*(1-e2_)*(e3_)*(e4_)*a_1_1*(e1_)*(1-e2_)*(e3_)*(e4_)</f>
        <v>0</v>
      </c>
      <c r="AK24" s="13">
        <f>(e1_)*(1-e2_)*(1-e3_)*(e4_)*a__111*(e1_)*(1-e2_)*(1-e3_)*(e4_)</f>
        <v>0</v>
      </c>
      <c r="AL24" s="13">
        <f>(1-e1_)*(e2_)*(e3_)*(e4_)*a1__1*(1-e1_)*(e2_)*(e3_)*(e4_)</f>
        <v>0</v>
      </c>
      <c r="AM24" s="13">
        <f>(1-e1_)*(e2_)*(1-e3_)*(e4_)*a1_11*(1-e1_)*(e2_)*(1-e3_)*(e4_)</f>
        <v>0</v>
      </c>
      <c r="AN24" s="13">
        <f>(1-e1_)*(1-e2_)*(e3_)*(e4_)*a11_1*(1-e1_)*(1-e2_)*(e3_)*(e4_)</f>
        <v>0</v>
      </c>
      <c r="AO24" s="13">
        <f>(1-e1_)*(1-e2_)*(1-e3_)*(e4_)*a_1111*(1-e1_)*(1-e2_)*(1-e3_)*(e4_)</f>
        <v>0.0037050767023462496</v>
      </c>
      <c r="AP24" s="6">
        <f t="shared" si="2"/>
        <v>0.300762146029361</v>
      </c>
      <c r="AQ24">
        <f t="shared" si="5"/>
        <v>0.040727511763934326</v>
      </c>
      <c r="AR24">
        <f t="shared" si="6"/>
        <v>0</v>
      </c>
      <c r="AS24">
        <f t="shared" si="7"/>
        <v>4.152666325385635</v>
      </c>
      <c r="AT24">
        <f t="shared" si="8"/>
        <v>0</v>
      </c>
      <c r="AU24">
        <f t="shared" si="9"/>
        <v>0</v>
      </c>
      <c r="AV24">
        <f t="shared" si="10"/>
        <v>0.040727511763934326</v>
      </c>
      <c r="AW24">
        <f t="shared" si="11"/>
        <v>1</v>
      </c>
      <c r="BA24" s="56"/>
    </row>
    <row r="25" spans="1:53" ht="12.75">
      <c r="A25" s="2"/>
      <c r="B25" s="3" t="s">
        <v>7</v>
      </c>
      <c r="C25">
        <v>7</v>
      </c>
      <c r="G25" s="19">
        <f>(1-e1_)*(1-e2_)*(1-e3_)*(e4_)*a___</f>
        <v>0</v>
      </c>
      <c r="H25" s="4">
        <f>(1-e1_)*(1-e2_)*(e3_)*(e4_)*a__1</f>
        <v>0</v>
      </c>
      <c r="I25" s="4">
        <f>(1-e1_)*(e2_)*(1-e3_)*(e4_)*a_1_</f>
        <v>0</v>
      </c>
      <c r="J25" s="4">
        <f>(1-e1_)*(e2_)*(e3_)*(e4_)*a_11</f>
        <v>0</v>
      </c>
      <c r="K25" s="4">
        <f>(e1_)*(1-e2_)*(1-e3_)*(e4_)*a1__</f>
        <v>0.0002008728604124405</v>
      </c>
      <c r="L25" s="4">
        <f>(e1_)*(1-e2_)*(e3_)*(e4_)*a1_1</f>
        <v>0</v>
      </c>
      <c r="M25" s="4">
        <f>(e1_)*(e2_)*(1-e3_)*(e4_)*a11_</f>
        <v>5.964606255307997E-05</v>
      </c>
      <c r="N25" s="27">
        <f>(e1_)*(e2_)*(e3_)*(e4_)*a_111</f>
        <v>0</v>
      </c>
      <c r="O25" s="4">
        <f>(1-e1_)*(1-e2_)*(1-e3_)*(1-e4_)*a___1</f>
        <v>0.03243259287924195</v>
      </c>
      <c r="P25" s="4">
        <f>(1-e1_)*(1-e2_)*(e3_)*(1-e4_)*a__11</f>
        <v>0</v>
      </c>
      <c r="Q25" s="4">
        <f>(1-e1_)*(e2_)*(1-e3_)*(1-e4_)*a_1_1</f>
        <v>0</v>
      </c>
      <c r="R25" s="4">
        <f>(1-e1_)*(e2_)*(e3_)*(1-e4_)*a__111</f>
        <v>0</v>
      </c>
      <c r="S25" s="4">
        <f>(e1_)*(1-e2_)*(1-e3_)*(1-e4_)*a1__1</f>
        <v>0</v>
      </c>
      <c r="T25" s="4">
        <f>(e1_)*(1-e2_)*(e3_)*(1-e4_)*a1_11</f>
        <v>0</v>
      </c>
      <c r="U25" s="4">
        <f>(e1_)*(e2_)*(1-e3_)*(1-e4_)*a11_1</f>
        <v>0</v>
      </c>
      <c r="V25" s="17">
        <f>(e1_)*(e2_)*(e3_)*(1-e4_)*a_1111</f>
        <v>0</v>
      </c>
      <c r="W25" s="17">
        <f t="shared" si="3"/>
        <v>0.03269311180220747</v>
      </c>
      <c r="X25" s="18">
        <f t="shared" si="4"/>
        <v>7.911733056134208</v>
      </c>
      <c r="Y25" s="18"/>
      <c r="Z25" s="19">
        <f>(1-e1_)*(1-e2_)*(1-e3_)*(e4_)*a___*(1-e1_)*(1-e2_)*(1-e3_)*(e4_)</f>
        <v>0</v>
      </c>
      <c r="AA25" s="4">
        <f>(1-e1_)*(1-e2_)*(e3_)*(e4_)*a__1*(1-e1_)*(1-e2_)*(e3_)*(e4_)</f>
        <v>0</v>
      </c>
      <c r="AB25" s="19">
        <f>(1-e1_)*(e2_)*(1-e3_)*(e4_)*a_1_*(1-e1_)*(e2_)*(1-e3_)*(e4_)</f>
        <v>0</v>
      </c>
      <c r="AC25" s="4">
        <f>(1-e1_)*(e2_)*(e3_)*(e4_)*a_11*(1-e1_)*(e2_)*(e3_)*(e4_)</f>
        <v>0</v>
      </c>
      <c r="AD25" s="4">
        <f>(e1_)*(1-e2_)*(1-e3_)*(e4_)*a1__*(e1_)*(1-e2_)*(1-e3_)*(e4_)</f>
        <v>1.2689716336308305E-06</v>
      </c>
      <c r="AE25" s="4">
        <f>(e1_)*(1-e2_)*(e3_)*(e4_)*a1_1*(e1_)*(1-e2_)*(e3_)*(e4_)</f>
        <v>0</v>
      </c>
      <c r="AF25" s="4">
        <f>(e1_)*(e2_)*(1-e3_)*(e4_)*a11_*(e1_)*(e2_)*(1-e3_)*(e4_)</f>
        <v>2.7308183652444737E-08</v>
      </c>
      <c r="AG25" s="4">
        <f>(e1_)*(e2_)*(e3_)*(e4_)*a_111*(e1_)*(e2_)*(e3_)*(e4_)</f>
        <v>0</v>
      </c>
      <c r="AH25" s="19">
        <f>(1-e1_)*(1-e2_)*(1-e3_)*(1-e4_)*a___1*(1-e1_)*(1-e2_)*(1-e3_)*(1-e4_)</f>
        <v>0.02475830646058827</v>
      </c>
      <c r="AI25" s="17">
        <f>(1-e1_)*(1-e2_)*(e3_)*(1-e4_)*a__11*(1-e1_)*(1-e2_)*(e3_)*(1-e4_)</f>
        <v>0</v>
      </c>
      <c r="AJ25" s="4">
        <f>(1-e1_)*(e2_)*(1-e3_)*(1-e4_)*a_1_1*(1-e1_)*(e2_)*(1-e3_)*(1-e4_)</f>
        <v>0</v>
      </c>
      <c r="AK25" s="4">
        <f>(1-e1_)*(e2_)*(e3_)*(1-e4_)*a__111*(1-e1_)*(e2_)*(e3_)*(1-e4_)</f>
        <v>0</v>
      </c>
      <c r="AL25" s="4">
        <f>(e1_)*(1-e2_)*(1-e3_)*(1-e4_)*a1__1*(e1_)*(1-e2_)*(1-e3_)*(1-e4_)</f>
        <v>0</v>
      </c>
      <c r="AM25" s="4">
        <f>(e1_)*(1-e2_)*(e3_)*(1-e4_)*a1_11*(e1_)*(1-e2_)*(e3_)*(1-e4_)</f>
        <v>0</v>
      </c>
      <c r="AN25" s="4">
        <f>(e1_)*(e2_)*(1-e3_)*(1-e4_)*a11_1*(e1_)*(e2_)*(1-e3_)*(1-e4_)</f>
        <v>0</v>
      </c>
      <c r="AO25" s="4">
        <f>(e1_)*(e2_)*(e3_)*(1-e4_)*a_1111*(e1_)*(e2_)*(e3_)*(1-e4_)</f>
        <v>0</v>
      </c>
      <c r="AP25" s="6">
        <f t="shared" si="2"/>
        <v>0.02475960274040555</v>
      </c>
      <c r="AQ25">
        <f t="shared" si="5"/>
        <v>0.10506638175858629</v>
      </c>
      <c r="AR25">
        <f t="shared" si="6"/>
        <v>0</v>
      </c>
      <c r="AS25">
        <f t="shared" si="7"/>
        <v>0.8312571656478234</v>
      </c>
      <c r="AT25">
        <f t="shared" si="8"/>
        <v>0</v>
      </c>
      <c r="AU25">
        <f t="shared" si="9"/>
        <v>0</v>
      </c>
      <c r="AV25">
        <f t="shared" si="10"/>
        <v>0.10506638175858629</v>
      </c>
      <c r="AW25">
        <f t="shared" si="11"/>
        <v>1</v>
      </c>
      <c r="BA25" s="2"/>
    </row>
    <row r="26" spans="1:53" ht="12.75">
      <c r="A26" s="2"/>
      <c r="B26" s="3" t="s">
        <v>15</v>
      </c>
      <c r="C26">
        <v>3</v>
      </c>
      <c r="G26" s="19">
        <f>(1-e1_)*(1-e2_)*(e3_)*(e4_)*a___</f>
        <v>0</v>
      </c>
      <c r="H26" s="4">
        <f>(1-e1_)*(1-e2_)*(1-e3_)*(e4_)*a__1</f>
        <v>0</v>
      </c>
      <c r="I26" s="4">
        <f>(1-e1_)*(e2_)*(e3_)*(e4_)*a_1_</f>
        <v>0</v>
      </c>
      <c r="J26" s="4">
        <f>(1-e1_)*(e2_)*(1-e3_)*(e4_)*a_11</f>
        <v>0</v>
      </c>
      <c r="K26" s="4">
        <f>(e1_)*(1-e2_)*(e3_)*(e4_)*a1__</f>
        <v>0</v>
      </c>
      <c r="L26" s="4">
        <f>(e1_)*(1-e2_)*(1-e3_)*(e4_)*a1_1</f>
        <v>0.00027815849090857164</v>
      </c>
      <c r="M26" s="4">
        <f>(e1_)*(e2_)*(e3_)*(e4_)*a11_</f>
        <v>0</v>
      </c>
      <c r="N26" s="27">
        <f>(e1_)*(e2_)*(1-e3_)*(e4_)*a_111</f>
        <v>0.0002332788249020112</v>
      </c>
      <c r="O26" s="4">
        <f>(1-e1_)*(1-e2_)*(e3_)*(1-e4_)*a___1</f>
        <v>0</v>
      </c>
      <c r="P26" s="4">
        <f>(1-e1_)*(1-e2_)*(1-e3_)*(1-e4_)*a__11</f>
        <v>0</v>
      </c>
      <c r="Q26" s="4">
        <f>(1-e1_)*(e2_)*(e3_)*(1-e4_)*a_1_1</f>
        <v>0</v>
      </c>
      <c r="R26" s="4">
        <f>(1-e1_)*(e2_)*(1-e3_)*(1-e4_)*a__111</f>
        <v>0</v>
      </c>
      <c r="S26" s="4">
        <f>(e1_)*(1-e2_)*(e3_)*(1-e4_)*a1__1</f>
        <v>0</v>
      </c>
      <c r="T26" s="4">
        <f>(e1_)*(1-e2_)*(1-e3_)*(1-e4_)*a1_11</f>
        <v>0</v>
      </c>
      <c r="U26" s="4">
        <f>(e1_)*(e2_)*(e3_)*(1-e4_)*a11_1</f>
        <v>0</v>
      </c>
      <c r="V26" s="17">
        <f>(e1_)*(e2_)*(1-e3_)*(1-e4_)*a_1111</f>
        <v>0.0006830665191807633</v>
      </c>
      <c r="W26" s="17">
        <f t="shared" si="3"/>
        <v>0.0011945038349913462</v>
      </c>
      <c r="X26" s="18">
        <f t="shared" si="4"/>
        <v>0.28906992806790577</v>
      </c>
      <c r="Y26" s="18"/>
      <c r="Z26" s="19">
        <f>(1-e1_)*(1-e2_)*(e3_)*(e4_)*a___*(1-e1_)*(1-e2_)*(e3_)*(e4_)</f>
        <v>0</v>
      </c>
      <c r="AA26" s="4">
        <f>(1-e1_)*(1-e2_)*(1-e3_)*(e4_)*a__1*(1-e1_)*(1-e2_)*(1-e3_)*(e4_)</f>
        <v>0</v>
      </c>
      <c r="AB26" s="19">
        <f>(1-e1_)*(e2_)*(e3_)*(e4_)*a_1_*(1-e1_)*(e2_)*(e3_)*(e4_)</f>
        <v>0</v>
      </c>
      <c r="AC26" s="4">
        <f>(1-e1_)*(e2_)*(1-e3_)*(e4_)*a_11*(1-e1_)*(e2_)*(1-e3_)*(e4_)</f>
        <v>0</v>
      </c>
      <c r="AD26" s="4">
        <f>(e1_)*(1-e2_)*(e3_)*(e4_)*a1__*(e1_)*(1-e2_)*(e3_)*(e4_)</f>
        <v>0</v>
      </c>
      <c r="AE26" s="4">
        <f>(e1_)*(1-e2_)*(1-e3_)*(e4_)*a1_1*(e1_)*(1-e2_)*(1-e3_)*(e4_)</f>
        <v>1.7572071901191292E-06</v>
      </c>
      <c r="AF26" s="4">
        <f>(e1_)*(e2_)*(e3_)*(e4_)*a11_*(e1_)*(e2_)*(e3_)*(e4_)</f>
        <v>0</v>
      </c>
      <c r="AG26" s="4">
        <f>(e1_)*(e2_)*(1-e3_)*(e4_)*a_111*(e1_)*(e2_)*(1-e3_)*(e4_)</f>
        <v>1.068037137737547E-07</v>
      </c>
      <c r="AH26" s="19">
        <f>(1-e1_)*(1-e2_)*(e3_)*(1-e4_)*a___1*(1-e1_)*(1-e2_)*(e3_)*(1-e4_)</f>
        <v>0</v>
      </c>
      <c r="AI26" s="17">
        <f>(1-e1_)*(1-e2_)*(1-e3_)*(1-e4_)*a__11*(1-e1_)*(1-e2_)*(1-e3_)*(1-e4_)</f>
        <v>0</v>
      </c>
      <c r="AJ26" s="4">
        <f>(1-e1_)*(e2_)*(e3_)*(1-e4_)*a_1_1*(1-e1_)*(e2_)*(e3_)*(1-e4_)</f>
        <v>0</v>
      </c>
      <c r="AK26" s="4">
        <f>(1-e1_)*(e2_)*(1-e3_)*(1-e4_)*a__111*(1-e1_)*(e2_)*(1-e3_)*(1-e4_)</f>
        <v>0</v>
      </c>
      <c r="AL26" s="4">
        <f>(e1_)*(1-e2_)*(e3_)*(1-e4_)*a1__1*(e1_)*(1-e2_)*(e3_)*(1-e4_)</f>
        <v>0</v>
      </c>
      <c r="AM26" s="4">
        <f>(e1_)*(1-e2_)*(1-e3_)*(1-e4_)*a1_11*(e1_)*(1-e2_)*(1-e3_)*(1-e4_)</f>
        <v>0</v>
      </c>
      <c r="AN26" s="4">
        <f>(e1_)*(e2_)*(e3_)*(1-e4_)*a11_1*(e1_)*(e2_)*(e3_)*(1-e4_)</f>
        <v>0</v>
      </c>
      <c r="AO26" s="4">
        <f>(e1_)*(e2_)*(1-e3_)*(1-e4_)*a_1111*(e1_)*(e2_)*(1-e3_)*(1-e4_)</f>
        <v>1.9289388642077465E-06</v>
      </c>
      <c r="AP26" s="6">
        <f t="shared" si="2"/>
        <v>3.7929497681006303E-06</v>
      </c>
      <c r="AQ26">
        <f t="shared" si="5"/>
        <v>25.42340500108802</v>
      </c>
      <c r="AR26">
        <f t="shared" si="6"/>
        <v>1</v>
      </c>
      <c r="AS26">
        <f t="shared" si="7"/>
        <v>7.34914185490575</v>
      </c>
      <c r="AT26">
        <f t="shared" si="8"/>
        <v>0.28906992806790577</v>
      </c>
      <c r="AU26">
        <f t="shared" si="9"/>
        <v>3</v>
      </c>
      <c r="AV26">
        <f t="shared" si="10"/>
        <v>0</v>
      </c>
      <c r="AW26">
        <f t="shared" si="11"/>
        <v>0</v>
      </c>
      <c r="BA26" s="2"/>
    </row>
    <row r="27" spans="1:53" ht="12.75">
      <c r="A27" s="2"/>
      <c r="B27" s="3" t="s">
        <v>16</v>
      </c>
      <c r="C27">
        <v>2</v>
      </c>
      <c r="G27" s="19">
        <f>(1-e1_)*(e2_)*(1-e3_)*(e4_)*a___</f>
        <v>0</v>
      </c>
      <c r="H27" s="4">
        <f>(1-e1_)*(e2_)*(e3_)*(e4_)*a__1</f>
        <v>0</v>
      </c>
      <c r="I27" s="4">
        <f>(1-e1_)*(1-e2_)*(1-e3_)*(e4_)*a_1_</f>
        <v>0</v>
      </c>
      <c r="J27" s="4">
        <f>(1-e1_)*(1-e2_)*(e3_)*(e4_)*a_11</f>
        <v>0</v>
      </c>
      <c r="K27" s="4">
        <f>(e1_)*(e2_)*(1-e3_)*(e4_)*a1__</f>
        <v>1.4557997787937258E-05</v>
      </c>
      <c r="L27" s="4">
        <f>(e1_)*(e2_)*(e3_)*(e4_)*a1_1</f>
        <v>0</v>
      </c>
      <c r="M27" s="4">
        <f>(e1_)*(1-e2_)*(1-e3_)*(e4_)*a11_</f>
        <v>0.0008230029549327313</v>
      </c>
      <c r="N27" s="27">
        <f>(e1_)*(1-e2_)*(e3_)*(e4_)*a_111</f>
        <v>0</v>
      </c>
      <c r="O27" s="4">
        <f>(1-e1_)*(e2_)*(1-e3_)*(1-e4_)*a___1</f>
        <v>0.0023505097424491718</v>
      </c>
      <c r="P27" s="4">
        <f>(1-e1_)*(e2_)*(e3_)*(1-e4_)*a__11</f>
        <v>0</v>
      </c>
      <c r="Q27" s="4">
        <f>(1-e1_)*(1-e2_)*(1-e3_)*(1-e4_)*a_1_1</f>
        <v>0</v>
      </c>
      <c r="R27" s="4">
        <f>(1-e1_)*(1-e2_)*(e3_)*(1-e4_)*a__111</f>
        <v>0</v>
      </c>
      <c r="S27" s="4">
        <f>(e1_)*(e2_)*(1-e3_)*(1-e4_)*a1__1</f>
        <v>0</v>
      </c>
      <c r="T27" s="4">
        <f>(e1_)*(e2_)*(e3_)*(1-e4_)*a1_11</f>
        <v>0</v>
      </c>
      <c r="U27" s="4">
        <f>(e1_)*(1-e2_)*(1-e3_)*(1-e4_)*a11_1</f>
        <v>0</v>
      </c>
      <c r="V27" s="17">
        <f>(e1_)*(1-e2_)*(e3_)*(1-e4_)*a_1111</f>
        <v>0</v>
      </c>
      <c r="W27" s="17">
        <f t="shared" si="3"/>
        <v>0.0031880706951698404</v>
      </c>
      <c r="X27" s="18">
        <f t="shared" si="4"/>
        <v>0.7715131082311014</v>
      </c>
      <c r="Y27" s="18"/>
      <c r="Z27" s="19">
        <f>(1-e1_)*(e2_)*(1-e3_)*(e4_)*a___*(1-e1_)*(e2_)*(1-e3_)*(e4_)</f>
        <v>0</v>
      </c>
      <c r="AA27" s="4">
        <f>(1-e1_)*(e2_)*(e3_)*(e4_)*a__1*(1-e1_)*(e2_)*(e3_)*(e4_)</f>
        <v>0</v>
      </c>
      <c r="AB27" s="19">
        <f>(1-e1_)*(1-e2_)*(1-e3_)*(e4_)*a_1_*(1-e1_)*(1-e2_)*(1-e3_)*(e4_)</f>
        <v>0</v>
      </c>
      <c r="AC27" s="4">
        <f>(1-e1_)*(1-e2_)*(e3_)*(e4_)*a_11*(1-e1_)*(1-e2_)*(e3_)*(e4_)</f>
        <v>0</v>
      </c>
      <c r="AD27" s="4">
        <f>(e1_)*(e2_)*(1-e3_)*(e4_)*a1__*(e1_)*(e2_)*(1-e3_)*(e4_)</f>
        <v>6.665192305880823E-09</v>
      </c>
      <c r="AE27" s="4">
        <f>(e1_)*(e2_)*(e3_)*(e4_)*a1_1*(e1_)*(e2_)*(e3_)*(e4_)</f>
        <v>0</v>
      </c>
      <c r="AF27" s="4">
        <f>(e1_)*(1-e2_)*(1-e3_)*(e4_)*a11_*(e1_)*(1-e2_)*(1-e3_)*(e4_)</f>
        <v>5.199146375770476E-06</v>
      </c>
      <c r="AG27" s="4">
        <f>(e1_)*(1-e2_)*(e3_)*(e4_)*a_111*(e1_)*(1-e2_)*(e3_)*(e4_)</f>
        <v>0</v>
      </c>
      <c r="AH27" s="19">
        <f>(1-e1_)*(e2_)*(1-e3_)*(1-e4_)*a___1*(1-e1_)*(e2_)*(1-e3_)*(1-e4_)</f>
        <v>0.00013004142043395725</v>
      </c>
      <c r="AI27" s="17">
        <f>(1-e1_)*(e2_)*(e3_)*(1-e4_)*a__11*(1-e1_)*(e2_)*(e3_)*(1-e4_)</f>
        <v>0</v>
      </c>
      <c r="AJ27" s="4">
        <f>(1-e1_)*(1-e2_)*(1-e3_)*(1-e4_)*a_1_1*(1-e1_)*(1-e2_)*(1-e3_)*(1-e4_)</f>
        <v>0</v>
      </c>
      <c r="AK27" s="4">
        <f>(1-e1_)*(1-e2_)*(e3_)*(1-e4_)*a__111*(1-e1_)*(1-e2_)*(e3_)*(1-e4_)</f>
        <v>0</v>
      </c>
      <c r="AL27" s="4">
        <f>(e1_)*(e2_)*(1-e3_)*(1-e4_)*a1__1*(e1_)*(e2_)*(1-e3_)*(1-e4_)</f>
        <v>0</v>
      </c>
      <c r="AM27" s="4">
        <f>(e1_)*(e2_)*(e3_)*(1-e4_)*a1_11*(e1_)*(e2_)*(e3_)*(1-e4_)</f>
        <v>0</v>
      </c>
      <c r="AN27" s="4">
        <f>(e1_)*(1-e2_)*(1-e3_)*(1-e4_)*a11_1*(e1_)*(1-e2_)*(1-e3_)*(1-e4_)</f>
        <v>0</v>
      </c>
      <c r="AO27" s="4">
        <f>(e1_)*(1-e2_)*(e3_)*(1-e4_)*a_1111*(e1_)*(1-e2_)*(e3_)*(1-e4_)</f>
        <v>0</v>
      </c>
      <c r="AP27" s="6">
        <f t="shared" si="2"/>
        <v>0.0001352472320020336</v>
      </c>
      <c r="AQ27">
        <f t="shared" si="5"/>
        <v>1.9561301384861822</v>
      </c>
      <c r="AR27">
        <f t="shared" si="6"/>
        <v>1</v>
      </c>
      <c r="AS27">
        <f t="shared" si="7"/>
        <v>1.5091800432480094</v>
      </c>
      <c r="AT27">
        <f t="shared" si="8"/>
        <v>0.7715131082311014</v>
      </c>
      <c r="AU27">
        <f t="shared" si="9"/>
        <v>2</v>
      </c>
      <c r="AV27">
        <f t="shared" si="10"/>
        <v>0</v>
      </c>
      <c r="AW27">
        <f t="shared" si="11"/>
        <v>0</v>
      </c>
      <c r="BA27" s="2"/>
    </row>
    <row r="28" spans="1:53" ht="12.75">
      <c r="A28" s="2"/>
      <c r="B28" s="3" t="s">
        <v>17</v>
      </c>
      <c r="C28">
        <v>2</v>
      </c>
      <c r="G28" s="19">
        <f>(1-e1_)*(e2_)*(e3_)*(e4_)*a___</f>
        <v>0</v>
      </c>
      <c r="H28" s="4">
        <f>(1-e1_)*(e2_)*(1-e3_)*(e4_)*a__1</f>
        <v>0</v>
      </c>
      <c r="I28" s="4">
        <f>(1-e1_)*(1-e2_)*(e3_)*(e4_)*a_1_</f>
        <v>0</v>
      </c>
      <c r="J28" s="4">
        <f>(1-e1_)*(1-e2_)*(1-e3_)*(e4_)*a_11</f>
        <v>0</v>
      </c>
      <c r="K28" s="4">
        <f>(e1_)*(e2_)*(e3_)*(e4_)*a1__</f>
        <v>0</v>
      </c>
      <c r="L28" s="4">
        <f>(e1_)*(e2_)*(1-e3_)*(e4_)*a1_1</f>
        <v>2.0159172757477003E-05</v>
      </c>
      <c r="M28" s="4">
        <f>(e1_)*(1-e2_)*(e3_)*(e4_)*a11_</f>
        <v>0</v>
      </c>
      <c r="N28" s="27">
        <f>(e1_)*(1-e2_)*(1-e3_)*(e4_)*a_111</f>
        <v>0.0032188069756781726</v>
      </c>
      <c r="O28" s="4">
        <f>(1-e1_)*(e2_)*(e3_)*(1-e4_)*a___1</f>
        <v>0</v>
      </c>
      <c r="P28" s="4">
        <f>(1-e1_)*(e2_)*(1-e3_)*(1-e4_)*a__11</f>
        <v>0</v>
      </c>
      <c r="Q28" s="4">
        <f>(1-e1_)*(1-e2_)*(e3_)*(1-e4_)*a_1_1</f>
        <v>0</v>
      </c>
      <c r="R28" s="4">
        <f>(1-e1_)*(1-e2_)*(1-e3_)*(1-e4_)*a__111</f>
        <v>0</v>
      </c>
      <c r="S28" s="4">
        <f>(e1_)*(e2_)*(e3_)*(1-e4_)*a1__1</f>
        <v>0</v>
      </c>
      <c r="T28" s="4">
        <f>(e1_)*(e2_)*(1-e3_)*(1-e4_)*a1_11</f>
        <v>0</v>
      </c>
      <c r="U28" s="4">
        <f>(e1_)*(1-e2_)*(e3_)*(1-e4_)*a11_1</f>
        <v>0</v>
      </c>
      <c r="V28" s="17">
        <f>(e1_)*(1-e2_)*(1-e3_)*(1-e4_)*a_1111</f>
        <v>0.009425027229603014</v>
      </c>
      <c r="W28" s="17">
        <f t="shared" si="3"/>
        <v>0.012663993378038665</v>
      </c>
      <c r="X28" s="18">
        <f t="shared" si="4"/>
        <v>3.0646863974853567</v>
      </c>
      <c r="Y28" s="18"/>
      <c r="Z28" s="19">
        <f>(1-e1_)*(e2_)*(e3_)*(e4_)*a___*(1-e1_)*(e2_)*(e3_)*(e4_)</f>
        <v>0</v>
      </c>
      <c r="AA28" s="4">
        <f>(1-e1_)*(e2_)*(1-e3_)*(e4_)*a__1*(1-e1_)*(e2_)*(1-e3_)*(e4_)</f>
        <v>0</v>
      </c>
      <c r="AB28" s="19">
        <f>(1-e1_)*(1-e2_)*(e3_)*(e4_)*a_1_*(1-e1_)*(1-e2_)*(e3_)*(e4_)</f>
        <v>0</v>
      </c>
      <c r="AC28" s="4">
        <f>(1-e1_)*(1-e2_)*(1-e3_)*(e4_)*a_11*(1-e1_)*(1-e2_)*(1-e3_)*(e4_)</f>
        <v>0</v>
      </c>
      <c r="AD28" s="4">
        <f>(e1_)*(e2_)*(e3_)*(e4_)*a1__*(e1_)*(e2_)*(e3_)*(e4_)</f>
        <v>0</v>
      </c>
      <c r="AE28" s="4">
        <f>(e1_)*(e2_)*(1-e3_)*(e4_)*a1_1*(e1_)*(e2_)*(1-e3_)*(e4_)</f>
        <v>9.22961832480786E-09</v>
      </c>
      <c r="AF28" s="4">
        <f>(e1_)*(1-e2_)*(e3_)*(e4_)*a11_*(e1_)*(1-e2_)*(e3_)*(e4_)</f>
        <v>0</v>
      </c>
      <c r="AG28" s="4">
        <f>(e1_)*(1-e2_)*(1-e3_)*(e4_)*a_111*(e1_)*(1-e2_)*(1-e3_)*(e4_)</f>
        <v>2.0334129448259087E-05</v>
      </c>
      <c r="AH28" s="19">
        <f>(1-e1_)*(e2_)*(e3_)*(1-e4_)*a___1*(1-e1_)*(e2_)*(e3_)*(1-e4_)</f>
        <v>0</v>
      </c>
      <c r="AI28" s="17">
        <f>(1-e1_)*(e2_)*(1-e3_)*(1-e4_)*a__11*(1-e1_)*(e2_)*(1-e3_)*(1-e4_)</f>
        <v>0</v>
      </c>
      <c r="AJ28" s="4">
        <f>(1-e1_)*(1-e2_)*(e3_)*(1-e4_)*a_1_1*(1-e1_)*(1-e2_)*(e3_)*(1-e4_)</f>
        <v>0</v>
      </c>
      <c r="AK28" s="4">
        <f>(1-e1_)*(1-e2_)*(1-e3_)*(1-e4_)*a__111*(1-e1_)*(1-e2_)*(1-e3_)*(1-e4_)</f>
        <v>0</v>
      </c>
      <c r="AL28" s="4">
        <f>(e1_)*(e2_)*(e3_)*(1-e4_)*a1__1*(e1_)*(e2_)*(e3_)*(1-e4_)</f>
        <v>0</v>
      </c>
      <c r="AM28" s="4">
        <f>(e1_)*(e2_)*(1-e3_)*(1-e4_)*a1_11*(e1_)*(e2_)*(1-e3_)*(1-e4_)</f>
        <v>0</v>
      </c>
      <c r="AN28" s="4">
        <f>(e1_)*(1-e2_)*(e3_)*(1-e4_)*a11_1*(e1_)*(1-e2_)*(e3_)*(1-e4_)</f>
        <v>0</v>
      </c>
      <c r="AO28" s="4">
        <f>(e1_)*(1-e2_)*(1-e3_)*(1-e4_)*a_1111*(e1_)*(1-e2_)*(1-e3_)*(1-e4_)</f>
        <v>0.0003672465233340666</v>
      </c>
      <c r="AP28" s="6">
        <f t="shared" si="2"/>
        <v>0.0003875898824006505</v>
      </c>
      <c r="AQ28">
        <f t="shared" si="5"/>
        <v>0.36987703731137245</v>
      </c>
      <c r="AR28">
        <f t="shared" si="6"/>
        <v>1</v>
      </c>
      <c r="AS28">
        <f t="shared" si="7"/>
        <v>1.1335571249903469</v>
      </c>
      <c r="AT28">
        <f t="shared" si="8"/>
        <v>3.0646863974853567</v>
      </c>
      <c r="AU28">
        <f t="shared" si="9"/>
        <v>2</v>
      </c>
      <c r="AV28">
        <f t="shared" si="10"/>
        <v>0</v>
      </c>
      <c r="AW28">
        <f t="shared" si="11"/>
        <v>0</v>
      </c>
      <c r="BA28" s="2"/>
    </row>
    <row r="29" spans="1:53" ht="12.75">
      <c r="A29" s="2"/>
      <c r="B29" s="3" t="s">
        <v>18</v>
      </c>
      <c r="C29">
        <v>2</v>
      </c>
      <c r="G29" s="19">
        <f>(e1_)*(1-e2_)*(1-e3_)*(e4_)*a___</f>
        <v>0</v>
      </c>
      <c r="H29" s="4">
        <f>(e1_)*(1-e2_)*(e3_)*(e4_)*a__1</f>
        <v>0</v>
      </c>
      <c r="I29" s="4">
        <f>(e1_)*(e2_)*(1-e3_)*(e4_)*a_1_</f>
        <v>0</v>
      </c>
      <c r="J29" s="4">
        <f>(e1_)*(e2_)*(e3_)*(e4_)*a_11</f>
        <v>0</v>
      </c>
      <c r="K29" s="4">
        <f>(1-e1_)*(1-e2_)*(1-e3_)*(e4_)*a1__</f>
        <v>0.003935368892061874</v>
      </c>
      <c r="L29" s="4">
        <f>(1-e1_)*(1-e2_)*(e3_)*(e4_)*a1_1</f>
        <v>0</v>
      </c>
      <c r="M29" s="4">
        <f>(1-e1_)*(e2_)*(1-e3_)*(e4_)*a11_</f>
        <v>0.00116854640603719</v>
      </c>
      <c r="N29" s="27">
        <f>(1-e1_)*(e2_)*(e3_)*(e4_)*a_111</f>
        <v>0</v>
      </c>
      <c r="O29" s="4">
        <f>(e1_)*(1-e2_)*(1-e3_)*(1-e4_)*a___1</f>
        <v>0.001655455404799966</v>
      </c>
      <c r="P29" s="4">
        <f>(e1_)*(1-e2_)*(e3_)*(1-e4_)*a__11</f>
        <v>0</v>
      </c>
      <c r="Q29" s="4">
        <f>(e1_)*(e2_)*(1-e3_)*(1-e4_)*a_1_1</f>
        <v>0</v>
      </c>
      <c r="R29" s="4">
        <f>(e1_)*(e2_)*(e3_)*(1-e4_)*a__111</f>
        <v>0</v>
      </c>
      <c r="S29" s="4">
        <f>(1-e1_)*(1-e2_)*(1-e3_)*(1-e4_)*a1__1</f>
        <v>0</v>
      </c>
      <c r="T29" s="4">
        <f>(1-e1_)*(1-e2_)*(e3_)*(1-e4_)*a1_11</f>
        <v>0</v>
      </c>
      <c r="U29" s="4">
        <f>(1-e1_)*(e2_)*(1-e3_)*(1-e4_)*a11_1</f>
        <v>0</v>
      </c>
      <c r="V29" s="17">
        <f>(1-e1_)*(e2_)*(e3_)*(1-e4_)*a_1111</f>
        <v>0</v>
      </c>
      <c r="W29" s="17">
        <f t="shared" si="3"/>
        <v>0.0067593707028990304</v>
      </c>
      <c r="X29" s="18">
        <f t="shared" si="4"/>
        <v>1.6357677101015653</v>
      </c>
      <c r="Y29" s="18"/>
      <c r="Z29" s="19">
        <f>(e1_)*(1-e2_)*(1-e3_)*(e4_)*a___*(e1_)*(1-e2_)*(1-e3_)*(e4_)</f>
        <v>0</v>
      </c>
      <c r="AA29" s="4">
        <f>(e1_)*(1-e2_)*(e3_)*(e4_)*a__1*(e1_)*(1-e2_)*(e3_)*(e4_)</f>
        <v>0</v>
      </c>
      <c r="AB29" s="19">
        <f>(e1_)*(e2_)*(1-e3_)*(e4_)*a_1_*(e1_)*(e2_)*(1-e3_)*(e4_)</f>
        <v>0</v>
      </c>
      <c r="AC29" s="4">
        <f>(e1_)*(e2_)*(e3_)*(e4_)*a_11*(e1_)*(e2_)*(e3_)*(e4_)</f>
        <v>0</v>
      </c>
      <c r="AD29" s="4">
        <f>(1-e1_)*(1-e2_)*(1-e3_)*(e4_)*a1__*(1-e1_)*(1-e2_)*(1-e3_)*(e4_)</f>
        <v>0.00048705755338536634</v>
      </c>
      <c r="AE29" s="4">
        <f>(1-e1_)*(1-e2_)*(e3_)*(e4_)*a1_1*(1-e1_)*(1-e2_)*(e3_)*(e4_)</f>
        <v>0</v>
      </c>
      <c r="AF29" s="4">
        <f>(1-e1_)*(e2_)*(1-e3_)*(e4_)*a11_*(1-e1_)*(e2_)*(1-e3_)*(e4_)</f>
        <v>1.048144557739375E-05</v>
      </c>
      <c r="AG29" s="4">
        <f>(1-e1_)*(e2_)*(e3_)*(e4_)*a_111*(1-e1_)*(e2_)*(e3_)*(e4_)</f>
        <v>0</v>
      </c>
      <c r="AH29" s="19">
        <f>(e1_)*(1-e2_)*(1-e3_)*(1-e4_)*a___1*(e1_)*(1-e2_)*(1-e3_)*(1-e4_)</f>
        <v>6.450487909868723E-05</v>
      </c>
      <c r="AI29" s="17">
        <f>(e1_)*(1-e2_)*(e3_)*(1-e4_)*a__11*(e1_)*(1-e2_)*(e3_)*(1-e4_)</f>
        <v>0</v>
      </c>
      <c r="AJ29" s="4">
        <f>(e1_)*(e2_)*(1-e3_)*(1-e4_)*a_1_1*(e1_)*(e2_)*(1-e3_)*(1-e4_)</f>
        <v>0</v>
      </c>
      <c r="AK29" s="4">
        <f>(e1_)*(e2_)*(e3_)*(1-e4_)*a__111*(e1_)*(e2_)*(e3_)*(1-e4_)</f>
        <v>0</v>
      </c>
      <c r="AL29" s="4">
        <f>(1-e1_)*(1-e2_)*(1-e3_)*(1-e4_)*a1__1*(1-e1_)*(1-e2_)*(1-e3_)*(1-e4_)</f>
        <v>0</v>
      </c>
      <c r="AM29" s="4">
        <f>(1-e1_)*(1-e2_)*(e3_)*(1-e4_)*a1_11*(1-e1_)*(1-e2_)*(e3_)*(1-e4_)</f>
        <v>0</v>
      </c>
      <c r="AN29" s="4">
        <f>(1-e1_)*(e2_)*(1-e3_)*(1-e4_)*a11_1*(1-e1_)*(e2_)*(1-e3_)*(1-e4_)</f>
        <v>0</v>
      </c>
      <c r="AO29" s="4">
        <f>(1-e1_)*(e2_)*(e3_)*(1-e4_)*a_1111*(1-e1_)*(e2_)*(e3_)*(1-e4_)</f>
        <v>0</v>
      </c>
      <c r="AP29" s="6">
        <f t="shared" si="2"/>
        <v>0.0005620438780614474</v>
      </c>
      <c r="AQ29">
        <f t="shared" si="5"/>
        <v>0.08110268969450446</v>
      </c>
      <c r="AR29">
        <f t="shared" si="6"/>
        <v>1</v>
      </c>
      <c r="AS29">
        <f t="shared" si="7"/>
        <v>0.1326651610046574</v>
      </c>
      <c r="AT29">
        <f t="shared" si="8"/>
        <v>1.6357677101015653</v>
      </c>
      <c r="AU29">
        <f t="shared" si="9"/>
        <v>2</v>
      </c>
      <c r="AV29">
        <f t="shared" si="10"/>
        <v>0</v>
      </c>
      <c r="AW29">
        <f t="shared" si="11"/>
        <v>0</v>
      </c>
      <c r="BA29" s="2"/>
    </row>
    <row r="30" spans="1:53" ht="12.75">
      <c r="A30" s="2"/>
      <c r="B30" s="16" t="s">
        <v>19</v>
      </c>
      <c r="C30">
        <v>5</v>
      </c>
      <c r="G30" s="19">
        <f>(e1_)*(1-e2_)*(e3_)*(e4_)*a___</f>
        <v>0</v>
      </c>
      <c r="H30" s="4">
        <f>(e1_)*(1-e2_)*(1-e3_)*(e4_)*a__1</f>
        <v>0</v>
      </c>
      <c r="I30" s="4">
        <f>(e1_)*(e2_)*(e3_)*(e4_)*a_1_</f>
        <v>0</v>
      </c>
      <c r="J30" s="4">
        <f>(e1_)*(e2_)*(1-e3_)*(e4_)*a_11</f>
        <v>0</v>
      </c>
      <c r="K30" s="4">
        <f>(1-e1_)*(1-e2_)*(e3_)*(e4_)*a1__</f>
        <v>0</v>
      </c>
      <c r="L30" s="4">
        <f>(1-e1_)*(1-e2_)*(1-e3_)*(e4_)*a1_1</f>
        <v>0.005449498105104265</v>
      </c>
      <c r="M30" s="4">
        <f>(1-e1_)*(e2_)*(e3_)*(e4_)*a11_</f>
        <v>0</v>
      </c>
      <c r="N30" s="27">
        <f>(1-e1_)*(e2_)*(1-e3_)*(e4_)*a_111</f>
        <v>0.004570245222829851</v>
      </c>
      <c r="O30" s="4">
        <f>(e1_)*(1-e2_)*(e3_)*(1-e4_)*a___1</f>
        <v>0</v>
      </c>
      <c r="P30" s="4">
        <f>(e1_)*(1-e2_)*(1-e3_)*(1-e4_)*a__11</f>
        <v>0</v>
      </c>
      <c r="Q30" s="4">
        <f>(e1_)*(e2_)*(e3_)*(1-e4_)*a_1_1</f>
        <v>0</v>
      </c>
      <c r="R30" s="4">
        <f>(e1_)*(e2_)*(1-e3_)*(1-e4_)*a__111</f>
        <v>0</v>
      </c>
      <c r="S30" s="4">
        <f>(1-e1_)*(1-e2_)*(e3_)*(1-e4_)*a1__1</f>
        <v>0</v>
      </c>
      <c r="T30" s="4">
        <f>(1-e1_)*(1-e2_)*(1-e3_)*(1-e4_)*a1_11</f>
        <v>0</v>
      </c>
      <c r="U30" s="4">
        <f>(1-e1_)*(e2_)*(e3_)*(1-e4_)*a11_1</f>
        <v>0</v>
      </c>
      <c r="V30" s="17">
        <f>(1-e1_)*(e2_)*(1-e3_)*(1-e4_)*a_1111</f>
        <v>0.013382189735704481</v>
      </c>
      <c r="W30" s="17">
        <f t="shared" si="3"/>
        <v>0.023401933063638594</v>
      </c>
      <c r="X30" s="18">
        <f t="shared" si="4"/>
        <v>5.66326780140054</v>
      </c>
      <c r="Y30" s="18"/>
      <c r="Z30" s="19">
        <f>(e1_)*(1-e2_)*(e3_)*(e4_)*a___*(e1_)*(1-e2_)*(e3_)*(e4_)</f>
        <v>0</v>
      </c>
      <c r="AA30" s="4">
        <f>(e1_)*(1-e2_)*(1-e3_)*(e4_)*a__1*(e1_)*(1-e2_)*(1-e3_)*(e4_)</f>
        <v>0</v>
      </c>
      <c r="AB30" s="19">
        <f>(e1_)*(e2_)*(e3_)*(e4_)*a_1_*(e1_)*(e2_)*(e3_)*(e4_)</f>
        <v>0</v>
      </c>
      <c r="AC30" s="4">
        <f>(e1_)*(e2_)*(1-e3_)*(e4_)*a_11*(e1_)*(e2_)*(1-e3_)*(e4_)</f>
        <v>0</v>
      </c>
      <c r="AD30" s="4">
        <f>(1-e1_)*(1-e2_)*(e3_)*(e4_)*a1__*(1-e1_)*(1-e2_)*(e3_)*(e4_)</f>
        <v>0</v>
      </c>
      <c r="AE30" s="4">
        <f>(1-e1_)*(1-e2_)*(1-e3_)*(e4_)*a1_1*(1-e1_)*(1-e2_)*(1-e3_)*(e4_)</f>
        <v>0.0006744524559321903</v>
      </c>
      <c r="AF30" s="4">
        <f>(1-e1_)*(e2_)*(e3_)*(e4_)*a11_*(1-e1_)*(e2_)*(e3_)*(e4_)</f>
        <v>0</v>
      </c>
      <c r="AG30" s="4">
        <f>(1-e1_)*(e2_)*(1-e3_)*(e4_)*a_111*(1-e1_)*(e2_)*(1-e3_)*(e4_)</f>
        <v>4.099347388426292E-05</v>
      </c>
      <c r="AH30" s="19">
        <f>(e1_)*(1-e2_)*(e3_)*(1-e4_)*a___1*(e1_)*(1-e2_)*(e3_)*(1-e4_)</f>
        <v>0</v>
      </c>
      <c r="AI30" s="17">
        <f>(e1_)*(1-e2_)*(1-e3_)*(1-e4_)*a__11*(e1_)*(1-e2_)*(1-e3_)*(1-e4_)</f>
        <v>0</v>
      </c>
      <c r="AJ30" s="4">
        <f>(e1_)*(e2_)*(e3_)*(1-e4_)*a_1_1*(e1_)*(e2_)*(e3_)*(1-e4_)</f>
        <v>0</v>
      </c>
      <c r="AK30" s="4">
        <f>(e1_)*(e2_)*(1-e3_)*(1-e4_)*a__111*(e1_)*(e2_)*(1-e3_)*(1-e4_)</f>
        <v>0</v>
      </c>
      <c r="AL30" s="4">
        <f>(1-e1_)*(1-e2_)*(e3_)*(1-e4_)*a1__1*(1-e1_)*(1-e2_)*(e3_)*(1-e4_)</f>
        <v>0</v>
      </c>
      <c r="AM30" s="4">
        <f>(1-e1_)*(1-e2_)*(1-e3_)*(1-e4_)*a1_11*(1-e1_)*(1-e2_)*(1-e3_)*(1-e4_)</f>
        <v>0</v>
      </c>
      <c r="AN30" s="4">
        <f>(1-e1_)*(e2_)*(e3_)*(1-e4_)*a11_1*(1-e1_)*(e2_)*(e3_)*(1-e4_)</f>
        <v>0</v>
      </c>
      <c r="AO30" s="4">
        <f>(1-e1_)*(e2_)*(1-e3_)*(1-e4_)*a_1111*(1-e1_)*(e2_)*(1-e3_)*(1-e4_)</f>
        <v>0.0007403666235964837</v>
      </c>
      <c r="AP30" s="6">
        <f t="shared" si="2"/>
        <v>0.001455812553412937</v>
      </c>
      <c r="AQ30">
        <f t="shared" si="5"/>
        <v>0.07768027079099311</v>
      </c>
      <c r="AR30">
        <f t="shared" si="6"/>
        <v>0</v>
      </c>
      <c r="AS30">
        <f t="shared" si="7"/>
        <v>0.43992417637470616</v>
      </c>
      <c r="AT30">
        <f t="shared" si="8"/>
        <v>0</v>
      </c>
      <c r="AU30">
        <f t="shared" si="9"/>
        <v>0</v>
      </c>
      <c r="AV30">
        <f t="shared" si="10"/>
        <v>0.07768027079099311</v>
      </c>
      <c r="AW30">
        <f t="shared" si="11"/>
        <v>1</v>
      </c>
      <c r="BA30" s="2"/>
    </row>
    <row r="31" spans="1:53" ht="12.75">
      <c r="A31" s="2"/>
      <c r="B31" s="16" t="s">
        <v>20</v>
      </c>
      <c r="C31">
        <v>2</v>
      </c>
      <c r="G31" s="19">
        <f>(e1_)*(e2_)*(1-e3_)*(e4_)*a___</f>
        <v>0</v>
      </c>
      <c r="H31" s="4">
        <f>(e1_)*(e2_)*(e3_)*(e4_)*a__1</f>
        <v>0</v>
      </c>
      <c r="I31" s="4">
        <f>(e1_)*(1-e2_)*(1-e3_)*(e4_)*a_1_</f>
        <v>0</v>
      </c>
      <c r="J31" s="4">
        <f>(e1_)*(1-e2_)*(e3_)*(e4_)*a_11</f>
        <v>0</v>
      </c>
      <c r="K31" s="4">
        <f>(1-e1_)*(e2_)*(1-e3_)*(e4_)*a1__</f>
        <v>0.0002852107124263646</v>
      </c>
      <c r="L31" s="4">
        <f>(1-e1_)*(e2_)*(e3_)*(e4_)*a1_1</f>
        <v>0</v>
      </c>
      <c r="M31" s="4">
        <f>(1-e1_)*(1-e2_)*(1-e3_)*(e4_)*a11_</f>
        <v>0.016123732296474447</v>
      </c>
      <c r="N31" s="27">
        <f>(1-e1_)*(1-e2_)*(e3_)*(e4_)*a_111</f>
        <v>0</v>
      </c>
      <c r="O31" s="4">
        <f>(e1_)*(e2_)*(1-e3_)*(1-e4_)*a___1</f>
        <v>0.0001199769648902461</v>
      </c>
      <c r="P31" s="4">
        <f>(e1_)*(e2_)*(e3_)*(1-e4_)*a__11</f>
        <v>0</v>
      </c>
      <c r="Q31" s="4">
        <f>(e1_)*(1-e2_)*(1-e3_)*(1-e4_)*a_1_1</f>
        <v>0</v>
      </c>
      <c r="R31" s="4">
        <f>(e1_)*(1-e2_)*(e3_)*(1-e4_)*a__111</f>
        <v>0</v>
      </c>
      <c r="S31" s="4">
        <f>(1-e1_)*(e2_)*(1-e3_)*(1-e4_)*a1__1</f>
        <v>0</v>
      </c>
      <c r="T31" s="4">
        <f>(1-e1_)*(e2_)*(e3_)*(1-e4_)*a1_11</f>
        <v>0</v>
      </c>
      <c r="U31" s="4">
        <f>(1-e1_)*(1-e2_)*(1-e3_)*(1-e4_)*a11_1</f>
        <v>0</v>
      </c>
      <c r="V31" s="17">
        <f>(1-e1_)*(1-e2_)*(e3_)*(1-e4_)*a_1111</f>
        <v>0</v>
      </c>
      <c r="W31" s="17">
        <f t="shared" si="3"/>
        <v>0.016528919973791058</v>
      </c>
      <c r="X31" s="18">
        <f t="shared" si="4"/>
        <v>3.999998633657436</v>
      </c>
      <c r="Y31" s="18"/>
      <c r="Z31" s="19">
        <f>(e1_)*(e2_)*(1-e3_)*(e4_)*a___*(e1_)*(e2_)*(1-e3_)*(e4_)</f>
        <v>0</v>
      </c>
      <c r="AA31" s="4">
        <f>(e1_)*(e2_)*(e3_)*(e4_)*a__1*(e1_)*(e2_)*(e3_)*(e4_)</f>
        <v>0</v>
      </c>
      <c r="AB31" s="19">
        <f>(e1_)*(1-e2_)*(1-e3_)*(e4_)*a_1_*(e1_)*(1-e2_)*(1-e3_)*(e4_)</f>
        <v>0</v>
      </c>
      <c r="AC31" s="4">
        <f>(e1_)*(1-e2_)*(e3_)*(e4_)*a_11*(e1_)*(1-e2_)*(e3_)*(e4_)</f>
        <v>0</v>
      </c>
      <c r="AD31" s="4">
        <f>(1-e1_)*(e2_)*(1-e3_)*(e4_)*a1__*(1-e1_)*(e2_)*(1-e3_)*(e4_)</f>
        <v>2.558238633007698E-06</v>
      </c>
      <c r="AE31" s="4">
        <f>(1-e1_)*(e2_)*(e3_)*(e4_)*a1_1*(1-e1_)*(e2_)*(e3_)*(e4_)</f>
        <v>0</v>
      </c>
      <c r="AF31" s="4">
        <f>(1-e1_)*(1-e2_)*(1-e3_)*(e4_)*a11_*(1-e1_)*(1-e2_)*(1-e3_)*(e4_)</f>
        <v>0.0019955398894376344</v>
      </c>
      <c r="AG31" s="4">
        <f>(1-e1_)*(1-e2_)*(e3_)*(e4_)*a_111*(1-e1_)*(1-e2_)*(e3_)*(e4_)</f>
        <v>0</v>
      </c>
      <c r="AH31" s="19">
        <f>(e1_)*(e2_)*(1-e3_)*(1-e4_)*a___1*(e1_)*(e2_)*(1-e3_)*(1-e4_)</f>
        <v>3.3880774988656703E-07</v>
      </c>
      <c r="AI31" s="17">
        <f>(e1_)*(e2_)*(e3_)*(1-e4_)*a__11*(e1_)*(e2_)*(e3_)*(1-e4_)</f>
        <v>0</v>
      </c>
      <c r="AJ31" s="4">
        <f>(e1_)*(1-e2_)*(1-e3_)*(1-e4_)*a_1_1*(e1_)*(1-e2_)*(1-e3_)*(1-e4_)</f>
        <v>0</v>
      </c>
      <c r="AK31" s="4">
        <f>(e1_)*(1-e2_)*(e3_)*(1-e4_)*a__111*(e1_)*(1-e2_)*(e3_)*(1-e4_)</f>
        <v>0</v>
      </c>
      <c r="AL31" s="4">
        <f>(1-e1_)*(e2_)*(1-e3_)*(1-e4_)*a1__1*(1-e1_)*(e2_)*(1-e3_)*(1-e4_)</f>
        <v>0</v>
      </c>
      <c r="AM31" s="4">
        <f>(1-e1_)*(e2_)*(e3_)*(1-e4_)*a1_11*(1-e1_)*(e2_)*(e3_)*(1-e4_)</f>
        <v>0</v>
      </c>
      <c r="AN31" s="4">
        <f>(1-e1_)*(1-e2_)*(1-e3_)*(1-e4_)*a11_1*(1-e1_)*(1-e2_)*(1-e3_)*(1-e4_)</f>
        <v>0</v>
      </c>
      <c r="AO31" s="4">
        <f>(1-e1_)*(1-e2_)*(e3_)*(1-e4_)*a_1111*(1-e1_)*(1-e2_)*(e3_)*(1-e4_)</f>
        <v>0</v>
      </c>
      <c r="AP31" s="6">
        <f t="shared" si="2"/>
        <v>0.0019984369358205284</v>
      </c>
      <c r="AQ31">
        <f t="shared" si="5"/>
        <v>0.9999989752431937</v>
      </c>
      <c r="AR31">
        <f t="shared" si="6"/>
        <v>1</v>
      </c>
      <c r="AS31">
        <f t="shared" si="7"/>
        <v>3.999994534631611</v>
      </c>
      <c r="AT31">
        <f t="shared" si="8"/>
        <v>3.999998633657436</v>
      </c>
      <c r="AU31">
        <f t="shared" si="9"/>
        <v>2</v>
      </c>
      <c r="AV31">
        <f t="shared" si="10"/>
        <v>0</v>
      </c>
      <c r="AW31">
        <f t="shared" si="11"/>
        <v>0</v>
      </c>
      <c r="BA31" s="2"/>
    </row>
    <row r="32" spans="1:53" ht="13.5" thickBot="1">
      <c r="A32" s="2"/>
      <c r="B32" s="12" t="s">
        <v>21</v>
      </c>
      <c r="C32">
        <v>62</v>
      </c>
      <c r="G32" s="19">
        <f>(e1_)*(e2_)*(e3_)*(e4_)*a___</f>
        <v>0</v>
      </c>
      <c r="H32" s="4">
        <f>(e1_)*(e2_)*(1-e3_)*(e4_)*a__1</f>
        <v>0</v>
      </c>
      <c r="I32" s="4">
        <f>(e1_)*(1-e2_)*(e3_)*(e4_)*a_1_</f>
        <v>0</v>
      </c>
      <c r="J32" s="4">
        <f>(e1_)*(1-e2_)*(1-e3_)*(e4_)*a_11</f>
        <v>0</v>
      </c>
      <c r="K32" s="4">
        <f>(1-e1_)*(e2_)*(e3_)*(e4_)*a1__</f>
        <v>0</v>
      </c>
      <c r="L32" s="4">
        <f>(1-e1_)*(e2_)*(1-e3_)*(e4_)*a1_1</f>
        <v>0.0003949452464438688</v>
      </c>
      <c r="M32" s="4">
        <f>(1-e1_)*(1-e2_)*(e3_)*(e4_)*a11_</f>
        <v>0</v>
      </c>
      <c r="N32" s="27">
        <f>(1-e1_)*(1-e2_)*(1-e3_)*(e4_)*a_111</f>
        <v>0.063060748055396</v>
      </c>
      <c r="O32" s="4">
        <f>(e1_)*(e2_)*(e3_)*(1-e4_)*a___1</f>
        <v>0</v>
      </c>
      <c r="P32" s="4">
        <f>(e1_)*(e2_)*(1-e3_)*(1-e4_)*a__11</f>
        <v>0</v>
      </c>
      <c r="Q32" s="4">
        <f>(e1_)*(1-e2_)*(e3_)*(1-e4_)*a_1_1</f>
        <v>0</v>
      </c>
      <c r="R32" s="4">
        <f>(e1_)*(1-e2_)*(1-e3_)*(1-e4_)*a__111</f>
        <v>0</v>
      </c>
      <c r="S32" s="4">
        <f>(1-e1_)*(e2_)*(e3_)*(1-e4_)*a1__1</f>
        <v>0</v>
      </c>
      <c r="T32" s="4">
        <f>(1-e1_)*(e2_)*(1-e3_)*(1-e4_)*a1_11</f>
        <v>0</v>
      </c>
      <c r="U32" s="4">
        <f>(1-e1_)*(1-e2_)*(e3_)*(1-e4_)*a11_1</f>
        <v>0</v>
      </c>
      <c r="V32" s="17">
        <f>(1-e1_)*(1-e2_)*(1-e3_)*(1-e4_)*a_1111</f>
        <v>0.18464893112020755</v>
      </c>
      <c r="W32" s="17">
        <f t="shared" si="3"/>
        <v>0.24810462442204742</v>
      </c>
      <c r="X32" s="18">
        <f t="shared" si="4"/>
        <v>60.041319110135476</v>
      </c>
      <c r="Y32" s="18"/>
      <c r="Z32" s="19">
        <f>(e1_)*(e2_)*(e3_)*(e4_)*a___*(e1_)*(e2_)*(e3_)*(e4_)</f>
        <v>0</v>
      </c>
      <c r="AA32" s="4">
        <f>(e1_)*(e2_)*(1-e3_)*(e4_)*a__1*(e1_)*(e2_)*(1-e3_)*(e4_)</f>
        <v>0</v>
      </c>
      <c r="AB32" s="19">
        <f>(e1_)*(1-e2_)*(e3_)*(e4_)*a_1_*(e1_)*(1-e2_)*(e3_)*(e4_)</f>
        <v>0</v>
      </c>
      <c r="AC32" s="4">
        <f>(e1_)*(1-e2_)*(1-e3_)*(e4_)*a_11*(e1_)*(1-e2_)*(1-e3_)*(e4_)</f>
        <v>0</v>
      </c>
      <c r="AD32" s="4">
        <f>(1-e1_)*(e2_)*(e3_)*(e4_)*a1__*(1-e1_)*(e2_)*(e3_)*(e4_)</f>
        <v>0</v>
      </c>
      <c r="AE32" s="4">
        <f>(1-e1_)*(e2_)*(1-e3_)*(e4_)*a1_1*(1-e1_)*(e2_)*(1-e3_)*(e4_)</f>
        <v>3.5425183674905136E-06</v>
      </c>
      <c r="AF32" s="4">
        <f>(1-e1_)*(1-e2_)*(e3_)*(e4_)*a11_*(1-e1_)*(1-e2_)*(e3_)*(e4_)</f>
        <v>0</v>
      </c>
      <c r="AG32" s="4">
        <f>(1-e1_)*(1-e2_)*(1-e3_)*(e4_)*a_111*(1-e1_)*(1-e2_)*(1-e3_)*(e4_)</f>
        <v>0.0078046593610237</v>
      </c>
      <c r="AH32" s="19">
        <f>(e1_)*(e2_)*(e3_)*(1-e4_)*a___1*(e1_)*(e2_)*(e3_)*(1-e4_)</f>
        <v>0</v>
      </c>
      <c r="AI32" s="17">
        <f>(e1_)*(e2_)*(1-e3_)*(1-e4_)*a__11*(e1_)*(e2_)*(1-e3_)*(1-e4_)</f>
        <v>0</v>
      </c>
      <c r="AJ32" s="4">
        <f>(e1_)*(1-e2_)*(e3_)*(1-e4_)*a_1_1*(e1_)*(1-e2_)*(e3_)*(1-e4_)</f>
        <v>0</v>
      </c>
      <c r="AK32" s="4">
        <f>(e1_)*(1-e2_)*(1-e3_)*(1-e4_)*a__111*(e1_)*(1-e2_)*(1-e3_)*(1-e4_)</f>
        <v>0</v>
      </c>
      <c r="AL32" s="4">
        <f>(1-e1_)*(e2_)*(e3_)*(1-e4_)*a1__1*(1-e1_)*(e2_)*(e3_)*(1-e4_)</f>
        <v>0</v>
      </c>
      <c r="AM32" s="4">
        <f>(1-e1_)*(e2_)*(1-e3_)*(1-e4_)*a1_11*(1-e1_)*(e2_)*(1-e3_)*(1-e4_)</f>
        <v>0</v>
      </c>
      <c r="AN32" s="4">
        <f>(1-e1_)*(1-e2_)*(e3_)*(1-e4_)*a11_1*(1-e1_)*(1-e2_)*(e3_)*(1-e4_)</f>
        <v>0</v>
      </c>
      <c r="AO32" s="4">
        <f>(1-e1_)*(1-e2_)*(1-e3_)*(1-e4_)*a_1111*(1-e1_)*(1-e2_)*(1-e3_)*(1-e4_)</f>
        <v>0.14095680975356556</v>
      </c>
      <c r="AP32" s="6">
        <f t="shared" si="2"/>
        <v>0.14876501163295675</v>
      </c>
      <c r="AQ32">
        <f t="shared" si="5"/>
        <v>0.06389651135550858</v>
      </c>
      <c r="AR32">
        <f t="shared" si="6"/>
        <v>0</v>
      </c>
      <c r="AS32">
        <f t="shared" si="7"/>
        <v>3.8364308283204855</v>
      </c>
      <c r="AT32">
        <f t="shared" si="8"/>
        <v>0</v>
      </c>
      <c r="AU32">
        <f t="shared" si="9"/>
        <v>0</v>
      </c>
      <c r="AV32">
        <f t="shared" si="10"/>
        <v>0.06389651135550858</v>
      </c>
      <c r="AW32">
        <f t="shared" si="11"/>
        <v>1</v>
      </c>
      <c r="BA32" s="2"/>
    </row>
    <row r="33" spans="1:53" ht="12.75">
      <c r="A33" s="2"/>
      <c r="C33" s="2">
        <f aca="true" t="shared" si="12" ref="C33:X33">SUM(C17:C32)</f>
        <v>242</v>
      </c>
      <c r="D33" s="2">
        <f t="shared" si="12"/>
        <v>0</v>
      </c>
      <c r="E33" s="2">
        <f t="shared" si="12"/>
        <v>0</v>
      </c>
      <c r="F33" s="2">
        <f t="shared" si="12"/>
        <v>0</v>
      </c>
      <c r="G33" s="33">
        <f t="shared" si="12"/>
        <v>0</v>
      </c>
      <c r="H33" s="2">
        <f t="shared" si="12"/>
        <v>0</v>
      </c>
      <c r="I33" s="2">
        <f t="shared" si="12"/>
        <v>0</v>
      </c>
      <c r="J33" s="2">
        <f t="shared" si="12"/>
        <v>0</v>
      </c>
      <c r="K33" s="2">
        <f t="shared" si="12"/>
        <v>0.03179732704885223</v>
      </c>
      <c r="L33" s="2">
        <f t="shared" si="12"/>
        <v>0.044031316568473915</v>
      </c>
      <c r="M33" s="2">
        <f t="shared" si="12"/>
        <v>0.13027789849975735</v>
      </c>
      <c r="N33" s="29">
        <f t="shared" si="12"/>
        <v>0.5095235757713492</v>
      </c>
      <c r="O33" s="2">
        <f t="shared" si="12"/>
        <v>0.04248566365171581</v>
      </c>
      <c r="P33" s="2">
        <f t="shared" si="12"/>
        <v>0</v>
      </c>
      <c r="Q33" s="2">
        <f t="shared" si="12"/>
        <v>0</v>
      </c>
      <c r="R33" s="2">
        <f t="shared" si="12"/>
        <v>0</v>
      </c>
      <c r="S33" s="2">
        <f t="shared" si="12"/>
        <v>0</v>
      </c>
      <c r="T33" s="2">
        <f t="shared" si="12"/>
        <v>0</v>
      </c>
      <c r="U33" s="2">
        <f t="shared" si="12"/>
        <v>0</v>
      </c>
      <c r="V33" s="32">
        <f t="shared" si="12"/>
        <v>0.24188421845985134</v>
      </c>
      <c r="W33" s="32">
        <f t="shared" si="12"/>
        <v>0.9999999999999998</v>
      </c>
      <c r="X33" s="32">
        <f t="shared" si="12"/>
        <v>241.99999999999997</v>
      </c>
      <c r="Y33" s="32"/>
      <c r="Z33" s="33">
        <f aca="true" t="shared" si="13" ref="Z33:AR33">SUM(Z17:Z32)</f>
        <v>0</v>
      </c>
      <c r="AA33" s="2">
        <f t="shared" si="13"/>
        <v>0</v>
      </c>
      <c r="AB33" s="2">
        <f t="shared" si="13"/>
        <v>0</v>
      </c>
      <c r="AC33" s="2">
        <f t="shared" si="13"/>
        <v>0</v>
      </c>
      <c r="AD33" s="2">
        <f t="shared" si="13"/>
        <v>0.019166480439308218</v>
      </c>
      <c r="AE33" s="2">
        <f t="shared" si="13"/>
        <v>0.02654076446205895</v>
      </c>
      <c r="AF33" s="2">
        <f t="shared" si="13"/>
        <v>0.0785276318803002</v>
      </c>
      <c r="AG33" s="2">
        <f t="shared" si="13"/>
        <v>0.30712561572814506</v>
      </c>
      <c r="AH33" s="2">
        <f t="shared" si="13"/>
        <v>0.025609090980527324</v>
      </c>
      <c r="AI33" s="2">
        <f t="shared" si="13"/>
        <v>0</v>
      </c>
      <c r="AJ33" s="2">
        <f t="shared" si="13"/>
        <v>0</v>
      </c>
      <c r="AK33" s="2">
        <f t="shared" si="13"/>
        <v>0</v>
      </c>
      <c r="AL33" s="2">
        <f t="shared" si="13"/>
        <v>0</v>
      </c>
      <c r="AM33" s="2">
        <f t="shared" si="13"/>
        <v>0</v>
      </c>
      <c r="AN33" s="2">
        <f t="shared" si="13"/>
        <v>0</v>
      </c>
      <c r="AO33" s="2">
        <f t="shared" si="13"/>
        <v>0.1458005930676315</v>
      </c>
      <c r="AP33" s="2">
        <f t="shared" si="13"/>
        <v>0.6027701765579714</v>
      </c>
      <c r="AQ33" s="36">
        <f t="shared" si="13"/>
        <v>30.65775314072813</v>
      </c>
      <c r="AR33" s="36">
        <f t="shared" si="13"/>
        <v>8</v>
      </c>
      <c r="AT33">
        <f>SUM(AT17:AT32)</f>
        <v>13.554998056460569</v>
      </c>
      <c r="AU33">
        <f>SUM(AU17:AU32)</f>
        <v>15</v>
      </c>
      <c r="AV33" s="36">
        <f>SUM(AV17:AV32)</f>
        <v>1.6151665245964268</v>
      </c>
      <c r="AW33" s="36">
        <f>SUM(AW17:AW32)</f>
        <v>8</v>
      </c>
      <c r="AX33" t="s">
        <v>64</v>
      </c>
      <c r="BA33" s="2"/>
    </row>
    <row r="34" spans="1:53" ht="12.75">
      <c r="A34" s="2"/>
      <c r="M34" s="15"/>
      <c r="N34" s="15"/>
      <c r="AQ34" t="s">
        <v>38</v>
      </c>
      <c r="AU34" s="36">
        <f>POWER(AT33-AU33,2)/AT33</f>
        <v>0.15404138076121215</v>
      </c>
      <c r="AV34" s="41">
        <f>AV33+AU34</f>
        <v>1.769207905357639</v>
      </c>
      <c r="BA34" s="2"/>
    </row>
    <row r="35" spans="1:53" ht="12.75">
      <c r="A35" s="2"/>
      <c r="E35" t="s">
        <v>106</v>
      </c>
      <c r="F35">
        <f>E33+F33</f>
        <v>0</v>
      </c>
      <c r="M35" s="15"/>
      <c r="N35" s="15"/>
      <c r="AP35" t="s">
        <v>106</v>
      </c>
      <c r="AU35" t="s">
        <v>61</v>
      </c>
      <c r="BA35" s="2"/>
    </row>
    <row r="36" spans="1:53" ht="12.75">
      <c r="A36" s="2"/>
      <c r="B36" s="2"/>
      <c r="C36" s="2"/>
      <c r="D36" s="2"/>
      <c r="E36" s="2"/>
      <c r="F36" s="2"/>
      <c r="G36" s="33"/>
      <c r="H36" s="2"/>
      <c r="I36" s="2"/>
      <c r="J36" s="2"/>
      <c r="K36" s="2"/>
      <c r="L36" s="2"/>
      <c r="M36" s="2"/>
      <c r="N36" s="29"/>
      <c r="O36" s="2"/>
      <c r="P36" s="2"/>
      <c r="Q36" s="2"/>
      <c r="R36" s="2"/>
      <c r="S36" s="2"/>
      <c r="T36" s="2"/>
      <c r="U36" s="2"/>
      <c r="V36" s="2"/>
      <c r="W36" s="32"/>
      <c r="X36" s="32"/>
      <c r="Y36" s="32"/>
      <c r="Z36" s="33"/>
      <c r="AA36" s="2"/>
      <c r="AB36" s="2"/>
      <c r="AC36" s="2"/>
      <c r="AD36" s="2"/>
      <c r="AE36" s="2"/>
      <c r="AF36" s="2"/>
      <c r="AG36" s="2"/>
      <c r="AH36" s="33"/>
      <c r="AI36" s="32"/>
      <c r="AJ36" s="2"/>
      <c r="AK36" s="2"/>
      <c r="AL36" s="2"/>
      <c r="AM36" s="2"/>
      <c r="AN36" s="2"/>
      <c r="AO36" s="2"/>
      <c r="AP36" s="2" t="s">
        <v>0</v>
      </c>
      <c r="AQ36" s="2"/>
      <c r="AR36" s="2"/>
      <c r="AS36" s="2"/>
      <c r="AT36" s="2"/>
      <c r="AU36" s="2"/>
      <c r="AV36" s="2"/>
      <c r="AW36" s="2"/>
      <c r="AX36" s="2"/>
      <c r="AY36" s="2"/>
      <c r="AZ36" s="2"/>
      <c r="BA36" s="2"/>
    </row>
    <row r="42" ht="12.75">
      <c r="A42" s="10" t="s">
        <v>56</v>
      </c>
    </row>
    <row r="43" ht="12.75">
      <c r="A43" t="s">
        <v>51</v>
      </c>
    </row>
    <row r="44" spans="4:26" ht="12.75">
      <c r="D44" t="s">
        <v>3</v>
      </c>
      <c r="Z44"/>
    </row>
    <row r="46" ht="12.75">
      <c r="D46" t="s">
        <v>50</v>
      </c>
    </row>
    <row r="47" ht="12.75">
      <c r="D47" s="9" t="s">
        <v>36</v>
      </c>
    </row>
    <row r="48" spans="1:2" ht="12.75">
      <c r="A48" t="s">
        <v>35</v>
      </c>
      <c r="B48" s="1">
        <v>0.1666091443573717</v>
      </c>
    </row>
    <row r="50" ht="12.75">
      <c r="E50" t="s">
        <v>49</v>
      </c>
    </row>
    <row r="51" spans="2:7" ht="12.75">
      <c r="B51" t="s">
        <v>98</v>
      </c>
      <c r="C51" s="1">
        <v>0.04374371397953129</v>
      </c>
      <c r="G51" s="21" t="s">
        <v>79</v>
      </c>
    </row>
    <row r="52" spans="2:26" ht="12.75">
      <c r="B52" t="s">
        <v>99</v>
      </c>
      <c r="C52" s="1">
        <v>0.283000855209267</v>
      </c>
      <c r="Z52" s="21" t="s">
        <v>34</v>
      </c>
    </row>
    <row r="53" spans="2:3" ht="12.75">
      <c r="B53" t="s">
        <v>100</v>
      </c>
      <c r="C53" s="1">
        <v>0.17759748745393045</v>
      </c>
    </row>
    <row r="54" spans="2:50" ht="12.75">
      <c r="B54" t="s">
        <v>5</v>
      </c>
      <c r="C54" s="1">
        <v>0.22678939578741336</v>
      </c>
      <c r="G54" s="21" t="s">
        <v>107</v>
      </c>
      <c r="Z54" s="21" t="s">
        <v>101</v>
      </c>
      <c r="AP54" t="s">
        <v>108</v>
      </c>
      <c r="AX54" t="s">
        <v>92</v>
      </c>
    </row>
    <row r="55" spans="23:43" ht="12.75">
      <c r="W55" s="30" t="s">
        <v>22</v>
      </c>
      <c r="X55" s="15" t="s">
        <v>2</v>
      </c>
      <c r="AP55" t="s">
        <v>22</v>
      </c>
      <c r="AQ55" t="s">
        <v>37</v>
      </c>
    </row>
    <row r="56" spans="5:52" ht="12.75">
      <c r="E56" s="2"/>
      <c r="F56" s="2"/>
      <c r="G56" s="34">
        <v>0</v>
      </c>
      <c r="H56" s="8">
        <v>0</v>
      </c>
      <c r="I56" s="8">
        <v>0</v>
      </c>
      <c r="J56" s="8">
        <v>0</v>
      </c>
      <c r="K56" s="8">
        <v>0</v>
      </c>
      <c r="L56" s="8">
        <v>0</v>
      </c>
      <c r="M56" s="8">
        <v>0</v>
      </c>
      <c r="N56" s="50">
        <v>0</v>
      </c>
      <c r="O56" s="5">
        <v>0.8711464778034154</v>
      </c>
      <c r="P56" s="8">
        <v>0</v>
      </c>
      <c r="Q56" s="5">
        <v>0.03887822120457149</v>
      </c>
      <c r="R56" s="8">
        <v>0.00012341489339546074</v>
      </c>
      <c r="S56" s="8">
        <v>0</v>
      </c>
      <c r="T56" s="8">
        <v>0</v>
      </c>
      <c r="U56" s="8">
        <v>0</v>
      </c>
      <c r="V56" s="30">
        <v>0.0898528860986176</v>
      </c>
      <c r="W56" s="17">
        <v>1.000001</v>
      </c>
      <c r="X56" s="15" t="s">
        <v>97</v>
      </c>
      <c r="Z56" s="34">
        <v>0</v>
      </c>
      <c r="AA56" s="8">
        <v>0</v>
      </c>
      <c r="AB56" s="8">
        <v>0</v>
      </c>
      <c r="AC56" s="8">
        <v>0</v>
      </c>
      <c r="AD56" s="8">
        <v>0</v>
      </c>
      <c r="AE56" s="8">
        <v>0</v>
      </c>
      <c r="AF56" s="8">
        <v>0</v>
      </c>
      <c r="AG56" s="8">
        <v>0</v>
      </c>
      <c r="AH56" s="34">
        <v>0.8711464778034154</v>
      </c>
      <c r="AI56" s="35">
        <v>0</v>
      </c>
      <c r="AJ56" s="8">
        <v>0.03887822120457149</v>
      </c>
      <c r="AK56" s="8">
        <v>0.00012341489339546074</v>
      </c>
      <c r="AL56" s="8">
        <v>0</v>
      </c>
      <c r="AM56" s="8">
        <v>0</v>
      </c>
      <c r="AN56" s="8">
        <v>0</v>
      </c>
      <c r="AO56" s="8">
        <v>0.0898528860986176</v>
      </c>
      <c r="AP56" s="6">
        <v>1.000001</v>
      </c>
      <c r="AX56" s="53" t="s">
        <v>90</v>
      </c>
      <c r="AY56" s="53" t="s">
        <v>91</v>
      </c>
      <c r="AZ56" s="53"/>
    </row>
    <row r="57" spans="2:52" ht="12.75">
      <c r="B57" t="s">
        <v>1</v>
      </c>
      <c r="C57" t="s">
        <v>102</v>
      </c>
      <c r="D57" t="s">
        <v>103</v>
      </c>
      <c r="E57" t="s">
        <v>104</v>
      </c>
      <c r="F57" t="s">
        <v>105</v>
      </c>
      <c r="G57" s="23" t="s">
        <v>6</v>
      </c>
      <c r="H57" s="7" t="s">
        <v>8</v>
      </c>
      <c r="I57" s="7" t="s">
        <v>9</v>
      </c>
      <c r="J57" s="7" t="s">
        <v>10</v>
      </c>
      <c r="K57" s="7" t="s">
        <v>11</v>
      </c>
      <c r="L57" s="7" t="s">
        <v>12</v>
      </c>
      <c r="M57" s="7" t="s">
        <v>13</v>
      </c>
      <c r="N57" s="26" t="s">
        <v>14</v>
      </c>
      <c r="O57" s="7" t="s">
        <v>7</v>
      </c>
      <c r="P57" s="7" t="s">
        <v>15</v>
      </c>
      <c r="Q57" s="7" t="s">
        <v>16</v>
      </c>
      <c r="R57" s="7" t="s">
        <v>17</v>
      </c>
      <c r="S57" s="7" t="s">
        <v>18</v>
      </c>
      <c r="T57" s="7" t="s">
        <v>19</v>
      </c>
      <c r="U57" s="7" t="s">
        <v>20</v>
      </c>
      <c r="V57" s="31" t="s">
        <v>21</v>
      </c>
      <c r="W57" s="31"/>
      <c r="Z57" s="23" t="s">
        <v>6</v>
      </c>
      <c r="AA57" s="7" t="s">
        <v>8</v>
      </c>
      <c r="AB57" s="7" t="s">
        <v>9</v>
      </c>
      <c r="AC57" s="7" t="s">
        <v>10</v>
      </c>
      <c r="AD57" s="7" t="s">
        <v>11</v>
      </c>
      <c r="AE57" s="7" t="s">
        <v>12</v>
      </c>
      <c r="AF57" s="7" t="s">
        <v>13</v>
      </c>
      <c r="AG57" s="26" t="s">
        <v>14</v>
      </c>
      <c r="AH57" s="7" t="s">
        <v>7</v>
      </c>
      <c r="AI57" s="7" t="s">
        <v>15</v>
      </c>
      <c r="AJ57" s="7" t="s">
        <v>16</v>
      </c>
      <c r="AK57" s="7" t="s">
        <v>17</v>
      </c>
      <c r="AL57" s="7" t="s">
        <v>18</v>
      </c>
      <c r="AM57" s="7" t="s">
        <v>19</v>
      </c>
      <c r="AN57" s="7" t="s">
        <v>20</v>
      </c>
      <c r="AO57" s="31" t="s">
        <v>21</v>
      </c>
      <c r="AP57" s="6"/>
      <c r="AR57" t="s">
        <v>58</v>
      </c>
      <c r="AS57" t="s">
        <v>59</v>
      </c>
      <c r="AT57" t="s">
        <v>60</v>
      </c>
      <c r="AU57" t="s">
        <v>62</v>
      </c>
      <c r="AW57" t="s">
        <v>63</v>
      </c>
      <c r="AX57" s="53"/>
      <c r="AY57" s="53"/>
      <c r="AZ57" s="53"/>
    </row>
    <row r="58" spans="2:52" ht="12.75">
      <c r="B58" s="16" t="s">
        <v>6</v>
      </c>
      <c r="C58">
        <v>27</v>
      </c>
      <c r="G58" s="19">
        <v>0</v>
      </c>
      <c r="H58" s="4">
        <v>0</v>
      </c>
      <c r="I58" s="4">
        <v>0</v>
      </c>
      <c r="J58" s="4">
        <v>0</v>
      </c>
      <c r="K58" s="4">
        <v>0</v>
      </c>
      <c r="L58" s="4">
        <v>0</v>
      </c>
      <c r="M58" s="4">
        <v>0</v>
      </c>
      <c r="N58" s="27">
        <v>0</v>
      </c>
      <c r="O58" s="4">
        <v>0.11140156659171362</v>
      </c>
      <c r="P58" s="4">
        <v>0</v>
      </c>
      <c r="Q58" s="4">
        <v>0.0019623461149364473</v>
      </c>
      <c r="R58" s="4">
        <v>1.345207204809223E-06</v>
      </c>
      <c r="S58" s="4">
        <v>0</v>
      </c>
      <c r="T58" s="4">
        <v>0</v>
      </c>
      <c r="U58" s="4">
        <v>0</v>
      </c>
      <c r="V58" s="17">
        <v>4.480175159994608E-05</v>
      </c>
      <c r="W58" s="17">
        <v>0.11341005966545482</v>
      </c>
      <c r="X58" s="18">
        <v>27.445234439040068</v>
      </c>
      <c r="Y58" s="18"/>
      <c r="Z58" s="19">
        <v>0</v>
      </c>
      <c r="AA58" s="4">
        <v>0</v>
      </c>
      <c r="AB58" s="4">
        <v>0</v>
      </c>
      <c r="AC58" s="4">
        <v>0</v>
      </c>
      <c r="AD58" s="4">
        <v>0</v>
      </c>
      <c r="AE58" s="4">
        <v>0</v>
      </c>
      <c r="AF58" s="4">
        <v>0</v>
      </c>
      <c r="AG58" s="4">
        <v>0</v>
      </c>
      <c r="AH58" s="19">
        <v>0.014245949854931904</v>
      </c>
      <c r="AI58" s="17">
        <v>0</v>
      </c>
      <c r="AJ58" s="4">
        <v>9.904779991203334E-05</v>
      </c>
      <c r="AK58" s="4">
        <v>1.4662593582382014E-08</v>
      </c>
      <c r="AL58" s="4">
        <v>0</v>
      </c>
      <c r="AM58" s="4">
        <v>0</v>
      </c>
      <c r="AN58" s="4">
        <v>0</v>
      </c>
      <c r="AO58" s="4">
        <v>2.2338703113223116E-08</v>
      </c>
      <c r="AP58" s="6">
        <v>0.014345034656140633</v>
      </c>
      <c r="AQ58">
        <v>0.007222882579036811</v>
      </c>
      <c r="AR58">
        <f>IF(X58&lt;2,1,0)</f>
        <v>0</v>
      </c>
      <c r="AS58">
        <f>POWER(C58-X58,2)</f>
        <v>0.19823370570732363</v>
      </c>
      <c r="AT58">
        <f>AR58*X58</f>
        <v>0</v>
      </c>
      <c r="AU58">
        <f>IF(AR58=1,C58,0)</f>
        <v>0</v>
      </c>
      <c r="AV58">
        <f>IF(AR58=0,AQ58,0)</f>
        <v>0.007222882579036811</v>
      </c>
      <c r="AW58">
        <f>IF(AV58&gt;0.00001,1,0)</f>
        <v>1</v>
      </c>
      <c r="AX58" s="53">
        <f>100*(C62+C63+C64+C65+C70+C71+C72+C73)/C74</f>
        <v>10.743801652892563</v>
      </c>
      <c r="AY58" s="53">
        <f>100*(X62+X63+X64+X65+X70+X71+X72+X73)/X74</f>
        <v>12.573552018687602</v>
      </c>
      <c r="AZ58" s="53" t="s">
        <v>93</v>
      </c>
    </row>
    <row r="59" spans="2:52" ht="12.75">
      <c r="B59" s="16" t="s">
        <v>8</v>
      </c>
      <c r="C59">
        <v>5</v>
      </c>
      <c r="G59" s="19">
        <v>0</v>
      </c>
      <c r="H59" s="4">
        <v>0</v>
      </c>
      <c r="I59" s="4">
        <v>0</v>
      </c>
      <c r="J59" s="4">
        <v>0</v>
      </c>
      <c r="K59" s="4">
        <v>0</v>
      </c>
      <c r="L59" s="4">
        <v>0</v>
      </c>
      <c r="M59" s="4">
        <v>0</v>
      </c>
      <c r="N59" s="27">
        <v>0</v>
      </c>
      <c r="O59" s="4">
        <v>0.02405712290915667</v>
      </c>
      <c r="P59" s="4">
        <v>0</v>
      </c>
      <c r="Q59" s="4">
        <v>0.00042376784386121644</v>
      </c>
      <c r="R59" s="4">
        <v>6.229264844848436E-06</v>
      </c>
      <c r="S59" s="4">
        <v>0</v>
      </c>
      <c r="T59" s="4">
        <v>0</v>
      </c>
      <c r="U59" s="4">
        <v>0</v>
      </c>
      <c r="V59" s="17">
        <v>0.0002074639321224537</v>
      </c>
      <c r="W59" s="17">
        <v>0.024694583949985187</v>
      </c>
      <c r="X59" s="18">
        <v>5.976089315896415</v>
      </c>
      <c r="Y59" s="18"/>
      <c r="Z59" s="19">
        <v>0</v>
      </c>
      <c r="AA59" s="4">
        <v>0</v>
      </c>
      <c r="AB59" s="4">
        <v>0</v>
      </c>
      <c r="AC59" s="4">
        <v>0</v>
      </c>
      <c r="AD59" s="4">
        <v>0</v>
      </c>
      <c r="AE59" s="4">
        <v>0</v>
      </c>
      <c r="AF59" s="4">
        <v>0</v>
      </c>
      <c r="AG59" s="4">
        <v>0</v>
      </c>
      <c r="AH59" s="19">
        <v>0.0006643488522453412</v>
      </c>
      <c r="AI59" s="17">
        <v>0</v>
      </c>
      <c r="AJ59" s="4">
        <v>4.619017535443944E-06</v>
      </c>
      <c r="AK59" s="4">
        <v>3.1441699976132565E-07</v>
      </c>
      <c r="AL59" s="4">
        <v>0</v>
      </c>
      <c r="AM59" s="4">
        <v>0</v>
      </c>
      <c r="AN59" s="4">
        <v>0</v>
      </c>
      <c r="AO59" s="4">
        <v>4.790194839648259E-07</v>
      </c>
      <c r="AP59" s="6">
        <v>0.0006697613062645113</v>
      </c>
      <c r="AQ59">
        <v>0.15942706044784377</v>
      </c>
      <c r="AR59">
        <f aca="true" t="shared" si="14" ref="AR59:AR73">IF(X59&lt;2,1,0)</f>
        <v>0</v>
      </c>
      <c r="AS59">
        <f aca="true" t="shared" si="15" ref="AS59:AS73">POWER(C59-X59,2)</f>
        <v>0.952750352607131</v>
      </c>
      <c r="AT59">
        <f aca="true" t="shared" si="16" ref="AT59:AT73">AR59*X59</f>
        <v>0</v>
      </c>
      <c r="AU59">
        <f aca="true" t="shared" si="17" ref="AU59:AU73">IF(AR59=1,C59,0)</f>
        <v>0</v>
      </c>
      <c r="AV59">
        <f aca="true" t="shared" si="18" ref="AV59:AV73">IF(AR59=0,AQ59,0)</f>
        <v>0.15942706044784377</v>
      </c>
      <c r="AW59">
        <f aca="true" t="shared" si="19" ref="AW59:AW73">IF(AV59&gt;0.00001,1,0)</f>
        <v>1</v>
      </c>
      <c r="AX59" s="53">
        <f>100*(C60+C61+C64+C65+C68+C69+C72+C73)/C74</f>
        <v>33.47107438016529</v>
      </c>
      <c r="AY59" s="53">
        <f>100*(X60+X61+X64+X65+X68+X69+X72+X73)/X74</f>
        <v>33.89234415248353</v>
      </c>
      <c r="AZ59" s="53" t="s">
        <v>94</v>
      </c>
    </row>
    <row r="60" spans="2:52" ht="12.75">
      <c r="B60" s="16" t="s">
        <v>9</v>
      </c>
      <c r="C60">
        <v>8</v>
      </c>
      <c r="G60" s="19">
        <v>0</v>
      </c>
      <c r="H60" s="4">
        <v>0</v>
      </c>
      <c r="I60" s="4">
        <v>0</v>
      </c>
      <c r="J60" s="4">
        <v>0</v>
      </c>
      <c r="K60" s="4">
        <v>0</v>
      </c>
      <c r="L60" s="4">
        <v>0</v>
      </c>
      <c r="M60" s="4">
        <v>0</v>
      </c>
      <c r="N60" s="27">
        <v>0</v>
      </c>
      <c r="O60" s="4">
        <v>0.04397039919246851</v>
      </c>
      <c r="P60" s="4">
        <v>0</v>
      </c>
      <c r="Q60" s="4">
        <v>0.004971718142520926</v>
      </c>
      <c r="R60" s="4">
        <v>3.408160779942979E-06</v>
      </c>
      <c r="S60" s="4">
        <v>0</v>
      </c>
      <c r="T60" s="4">
        <v>0</v>
      </c>
      <c r="U60" s="4">
        <v>0</v>
      </c>
      <c r="V60" s="17">
        <v>0.00011350784632270722</v>
      </c>
      <c r="W60" s="17">
        <v>0.04905903334209208</v>
      </c>
      <c r="X60" s="18">
        <v>11.872286068786282</v>
      </c>
      <c r="Y60" s="18"/>
      <c r="Z60" s="19">
        <v>0</v>
      </c>
      <c r="AA60" s="4">
        <v>0</v>
      </c>
      <c r="AB60" s="4">
        <v>0</v>
      </c>
      <c r="AC60" s="4">
        <v>0</v>
      </c>
      <c r="AD60" s="4">
        <v>0</v>
      </c>
      <c r="AE60" s="4">
        <v>0</v>
      </c>
      <c r="AF60" s="4">
        <v>0</v>
      </c>
      <c r="AG60" s="4">
        <v>0</v>
      </c>
      <c r="AH60" s="19">
        <v>0.0022193695944453203</v>
      </c>
      <c r="AI60" s="17">
        <v>0</v>
      </c>
      <c r="AJ60" s="4">
        <v>0.000635779635045784</v>
      </c>
      <c r="AK60" s="4">
        <v>9.41179754109706E-08</v>
      </c>
      <c r="AL60" s="4">
        <v>0</v>
      </c>
      <c r="AM60" s="4">
        <v>0</v>
      </c>
      <c r="AN60" s="4">
        <v>0</v>
      </c>
      <c r="AO60" s="4">
        <v>1.4339028757160359E-07</v>
      </c>
      <c r="AP60" s="6">
        <v>0.002855386737754087</v>
      </c>
      <c r="AQ60">
        <v>1.2629917533691333</v>
      </c>
      <c r="AR60">
        <f t="shared" si="14"/>
        <v>0</v>
      </c>
      <c r="AS60">
        <f t="shared" si="15"/>
        <v>14.994599398516321</v>
      </c>
      <c r="AT60">
        <f t="shared" si="16"/>
        <v>0</v>
      </c>
      <c r="AU60">
        <f t="shared" si="17"/>
        <v>0</v>
      </c>
      <c r="AV60">
        <f t="shared" si="18"/>
        <v>1.2629917533691333</v>
      </c>
      <c r="AW60">
        <f t="shared" si="19"/>
        <v>1</v>
      </c>
      <c r="AX60" s="53">
        <f>100*(C59+C61+C63+C65+C67+C69+C71+C73)/C74</f>
        <v>22.31404958677686</v>
      </c>
      <c r="AY60" s="53">
        <f>100*(X59+X61+X63+X65+X67+X69+X71+X73)/X74</f>
        <v>23.56146004556702</v>
      </c>
      <c r="AZ60" s="53" t="s">
        <v>95</v>
      </c>
    </row>
    <row r="61" spans="2:52" ht="12.75">
      <c r="B61" s="16" t="s">
        <v>10</v>
      </c>
      <c r="C61">
        <v>4</v>
      </c>
      <c r="G61" s="19">
        <v>0</v>
      </c>
      <c r="H61" s="4">
        <v>0</v>
      </c>
      <c r="I61" s="4">
        <v>0</v>
      </c>
      <c r="J61" s="4">
        <v>0</v>
      </c>
      <c r="K61" s="4">
        <v>0</v>
      </c>
      <c r="L61" s="4">
        <v>0</v>
      </c>
      <c r="M61" s="4">
        <v>0</v>
      </c>
      <c r="N61" s="27">
        <v>0</v>
      </c>
      <c r="O61" s="4">
        <v>0.009495389787602688</v>
      </c>
      <c r="P61" s="4">
        <v>0</v>
      </c>
      <c r="Q61" s="4">
        <v>0.0010736405068939724</v>
      </c>
      <c r="R61" s="4">
        <v>1.5782205192025347E-05</v>
      </c>
      <c r="S61" s="4">
        <v>0</v>
      </c>
      <c r="T61" s="4">
        <v>0</v>
      </c>
      <c r="U61" s="4">
        <v>0</v>
      </c>
      <c r="V61" s="17">
        <v>0.000525621951907978</v>
      </c>
      <c r="W61" s="17">
        <v>0.011110434451596663</v>
      </c>
      <c r="X61" s="18">
        <v>2.6887251372863927</v>
      </c>
      <c r="Y61" s="18"/>
      <c r="Z61" s="19">
        <v>0</v>
      </c>
      <c r="AA61" s="4">
        <v>0</v>
      </c>
      <c r="AB61" s="4">
        <v>0</v>
      </c>
      <c r="AC61" s="4">
        <v>0</v>
      </c>
      <c r="AD61" s="4">
        <v>0</v>
      </c>
      <c r="AE61" s="4">
        <v>0</v>
      </c>
      <c r="AF61" s="4">
        <v>0</v>
      </c>
      <c r="AG61" s="4">
        <v>0</v>
      </c>
      <c r="AH61" s="19">
        <v>0.00010349858435501321</v>
      </c>
      <c r="AI61" s="17">
        <v>0</v>
      </c>
      <c r="AJ61" s="4">
        <v>2.964909150493761E-05</v>
      </c>
      <c r="AK61" s="4">
        <v>2.018216714939471E-06</v>
      </c>
      <c r="AL61" s="4">
        <v>0</v>
      </c>
      <c r="AM61" s="4">
        <v>0</v>
      </c>
      <c r="AN61" s="4">
        <v>0</v>
      </c>
      <c r="AO61" s="4">
        <v>3.0747864461952254E-06</v>
      </c>
      <c r="AP61" s="6">
        <v>0.00013824067902108548</v>
      </c>
      <c r="AQ61">
        <v>0.6395007588317277</v>
      </c>
      <c r="AR61">
        <f t="shared" si="14"/>
        <v>0</v>
      </c>
      <c r="AS61">
        <f t="shared" si="15"/>
        <v>1.7194417655845895</v>
      </c>
      <c r="AT61">
        <f t="shared" si="16"/>
        <v>0</v>
      </c>
      <c r="AU61">
        <f t="shared" si="17"/>
        <v>0</v>
      </c>
      <c r="AV61">
        <f t="shared" si="18"/>
        <v>0.6395007588317277</v>
      </c>
      <c r="AW61">
        <f t="shared" si="19"/>
        <v>1</v>
      </c>
      <c r="AX61" s="53">
        <f>100*(C66+C67+C68+C69+C70+C71+C72+C73)/C74</f>
        <v>78.51239669421487</v>
      </c>
      <c r="AY61" s="53">
        <f>100*(X66+X67+X68+X69+X70+X71+X72+X73)/X74</f>
        <v>77.32106042125865</v>
      </c>
      <c r="AZ61" s="53" t="s">
        <v>96</v>
      </c>
    </row>
    <row r="62" spans="2:49" ht="12.75">
      <c r="B62" s="3" t="s">
        <v>11</v>
      </c>
      <c r="C62">
        <v>0</v>
      </c>
      <c r="G62" s="19">
        <v>0</v>
      </c>
      <c r="H62" s="4">
        <v>0</v>
      </c>
      <c r="I62" s="4">
        <v>0</v>
      </c>
      <c r="J62" s="4">
        <v>0</v>
      </c>
      <c r="K62" s="4">
        <v>0</v>
      </c>
      <c r="L62" s="4">
        <v>0</v>
      </c>
      <c r="M62" s="4">
        <v>0</v>
      </c>
      <c r="N62" s="27">
        <v>0</v>
      </c>
      <c r="O62" s="4">
        <v>0.005096037889737145</v>
      </c>
      <c r="P62" s="4">
        <v>0</v>
      </c>
      <c r="Q62" s="4">
        <v>8.97670514019366E-05</v>
      </c>
      <c r="R62" s="4">
        <v>6.15361802799379E-08</v>
      </c>
      <c r="S62" s="4">
        <v>0</v>
      </c>
      <c r="T62" s="4">
        <v>0</v>
      </c>
      <c r="U62" s="4">
        <v>0</v>
      </c>
      <c r="V62" s="17">
        <v>0.000979385440665207</v>
      </c>
      <c r="W62" s="17">
        <v>0.006165251917984569</v>
      </c>
      <c r="X62" s="18">
        <v>1.4919909641522655</v>
      </c>
      <c r="Y62" s="18"/>
      <c r="Z62" s="19">
        <v>0</v>
      </c>
      <c r="AA62" s="4">
        <v>0</v>
      </c>
      <c r="AB62" s="4">
        <v>0</v>
      </c>
      <c r="AC62" s="4">
        <v>0</v>
      </c>
      <c r="AD62" s="4">
        <v>0</v>
      </c>
      <c r="AE62" s="4">
        <v>0</v>
      </c>
      <c r="AF62" s="4">
        <v>0</v>
      </c>
      <c r="AG62" s="4">
        <v>0</v>
      </c>
      <c r="AH62" s="19">
        <v>2.981083300608485E-05</v>
      </c>
      <c r="AI62" s="17">
        <v>0</v>
      </c>
      <c r="AJ62" s="4">
        <v>2.0726574590430114E-07</v>
      </c>
      <c r="AK62" s="4">
        <v>3.0682694602435196E-11</v>
      </c>
      <c r="AL62" s="4">
        <v>0</v>
      </c>
      <c r="AM62" s="4">
        <v>0</v>
      </c>
      <c r="AN62" s="4">
        <v>0</v>
      </c>
      <c r="AO62" s="4">
        <v>1.0675181210475767E-05</v>
      </c>
      <c r="AP62" s="6">
        <v>4.0693310645159523E-05</v>
      </c>
      <c r="AQ62">
        <v>1.4919909641522653</v>
      </c>
      <c r="AR62">
        <f t="shared" si="14"/>
        <v>1</v>
      </c>
      <c r="AS62">
        <f t="shared" si="15"/>
        <v>2.2260370371120066</v>
      </c>
      <c r="AT62">
        <f t="shared" si="16"/>
        <v>1.4919909641522655</v>
      </c>
      <c r="AU62">
        <f t="shared" si="17"/>
        <v>0</v>
      </c>
      <c r="AV62">
        <f t="shared" si="18"/>
        <v>0</v>
      </c>
      <c r="AW62">
        <f t="shared" si="19"/>
        <v>0</v>
      </c>
    </row>
    <row r="63" spans="1:50" ht="12.75">
      <c r="A63" s="15"/>
      <c r="B63" s="16" t="s">
        <v>12</v>
      </c>
      <c r="C63">
        <v>3</v>
      </c>
      <c r="G63" s="19">
        <v>0</v>
      </c>
      <c r="H63" s="17">
        <v>0</v>
      </c>
      <c r="I63" s="17">
        <v>0</v>
      </c>
      <c r="J63" s="17">
        <v>0</v>
      </c>
      <c r="K63" s="17">
        <v>0</v>
      </c>
      <c r="L63" s="17">
        <v>0</v>
      </c>
      <c r="M63" s="17">
        <v>0</v>
      </c>
      <c r="N63" s="27">
        <v>0</v>
      </c>
      <c r="O63" s="17">
        <v>0.001100487305644811</v>
      </c>
      <c r="P63" s="17">
        <v>0</v>
      </c>
      <c r="Q63" s="17">
        <v>1.9385158170025286E-05</v>
      </c>
      <c r="R63" s="17">
        <v>2.849562232001544E-07</v>
      </c>
      <c r="S63" s="17">
        <v>0</v>
      </c>
      <c r="T63" s="17">
        <v>0</v>
      </c>
      <c r="U63" s="17">
        <v>0</v>
      </c>
      <c r="V63" s="17">
        <v>0.004535250237495858</v>
      </c>
      <c r="W63" s="17">
        <v>0.005655407657533895</v>
      </c>
      <c r="X63" s="18">
        <v>1.3686086531232025</v>
      </c>
      <c r="Y63" s="18"/>
      <c r="Z63" s="19">
        <v>0</v>
      </c>
      <c r="AA63" s="4">
        <v>0</v>
      </c>
      <c r="AB63" s="4">
        <v>0</v>
      </c>
      <c r="AC63" s="17">
        <v>0</v>
      </c>
      <c r="AD63" s="17">
        <v>0</v>
      </c>
      <c r="AE63" s="17">
        <v>0</v>
      </c>
      <c r="AF63" s="17">
        <v>0</v>
      </c>
      <c r="AG63" s="17">
        <v>0</v>
      </c>
      <c r="AH63" s="19">
        <v>1.3902051385653058E-06</v>
      </c>
      <c r="AI63" s="17">
        <v>0</v>
      </c>
      <c r="AJ63" s="17">
        <v>9.665677740233433E-09</v>
      </c>
      <c r="AK63" s="17">
        <v>6.579436801059765E-10</v>
      </c>
      <c r="AL63" s="17">
        <v>0</v>
      </c>
      <c r="AM63" s="17">
        <v>0</v>
      </c>
      <c r="AN63" s="17">
        <v>0</v>
      </c>
      <c r="AO63" s="17">
        <v>0.00022891301114280724</v>
      </c>
      <c r="AP63" s="6">
        <v>0.00023031353990279289</v>
      </c>
      <c r="AQ63">
        <v>1.9446302057136768</v>
      </c>
      <c r="AR63">
        <f t="shared" si="14"/>
        <v>1</v>
      </c>
      <c r="AS63">
        <f t="shared" si="15"/>
        <v>2.6614377266644915</v>
      </c>
      <c r="AT63">
        <f t="shared" si="16"/>
        <v>1.3686086531232025</v>
      </c>
      <c r="AU63">
        <f t="shared" si="17"/>
        <v>3</v>
      </c>
      <c r="AV63">
        <f t="shared" si="18"/>
        <v>0</v>
      </c>
      <c r="AW63">
        <f t="shared" si="19"/>
        <v>0</v>
      </c>
      <c r="AX63" s="15"/>
    </row>
    <row r="64" spans="1:50" ht="12.75">
      <c r="A64" s="15"/>
      <c r="B64" s="16" t="s">
        <v>13</v>
      </c>
      <c r="C64">
        <v>3</v>
      </c>
      <c r="G64" s="19">
        <v>0</v>
      </c>
      <c r="H64" s="17">
        <v>0</v>
      </c>
      <c r="I64" s="17">
        <v>0</v>
      </c>
      <c r="J64" s="17">
        <v>0</v>
      </c>
      <c r="K64" s="17">
        <v>0</v>
      </c>
      <c r="L64" s="17">
        <v>0</v>
      </c>
      <c r="M64" s="17">
        <v>0</v>
      </c>
      <c r="N64" s="27">
        <v>0</v>
      </c>
      <c r="O64" s="17">
        <v>0.0020114153433130845</v>
      </c>
      <c r="P64" s="17">
        <v>0</v>
      </c>
      <c r="Q64" s="17">
        <v>0.00022743005153811534</v>
      </c>
      <c r="R64" s="17">
        <v>1.5590549576883072E-07</v>
      </c>
      <c r="S64" s="17">
        <v>0</v>
      </c>
      <c r="T64" s="17">
        <v>0</v>
      </c>
      <c r="U64" s="17">
        <v>0</v>
      </c>
      <c r="V64" s="17">
        <v>0.0024813300400035477</v>
      </c>
      <c r="W64" s="17">
        <v>0.004720331340350516</v>
      </c>
      <c r="X64" s="18">
        <v>1.142320184364825</v>
      </c>
      <c r="Y64" s="18"/>
      <c r="Z64" s="19">
        <v>0</v>
      </c>
      <c r="AA64" s="4">
        <v>0</v>
      </c>
      <c r="AB64" s="4">
        <v>0</v>
      </c>
      <c r="AC64" s="17">
        <v>0</v>
      </c>
      <c r="AD64" s="17">
        <v>0</v>
      </c>
      <c r="AE64" s="17">
        <v>0</v>
      </c>
      <c r="AF64" s="17">
        <v>0</v>
      </c>
      <c r="AG64" s="17">
        <v>0</v>
      </c>
      <c r="AH64" s="19">
        <v>4.644215165188643E-06</v>
      </c>
      <c r="AI64" s="17">
        <v>0</v>
      </c>
      <c r="AJ64" s="17">
        <v>1.3304216792857743E-06</v>
      </c>
      <c r="AK64" s="17">
        <v>1.969496787801698E-10</v>
      </c>
      <c r="AL64" s="17">
        <v>0</v>
      </c>
      <c r="AM64" s="17">
        <v>0</v>
      </c>
      <c r="AN64" s="17">
        <v>0</v>
      </c>
      <c r="AO64" s="17">
        <v>6.852310520851187E-05</v>
      </c>
      <c r="AP64" s="6">
        <v>7.449793900266507E-05</v>
      </c>
      <c r="AQ64">
        <v>3.0210219031866408</v>
      </c>
      <c r="AR64">
        <f t="shared" si="14"/>
        <v>1</v>
      </c>
      <c r="AS64">
        <f t="shared" si="15"/>
        <v>3.450974297418338</v>
      </c>
      <c r="AT64">
        <f t="shared" si="16"/>
        <v>1.142320184364825</v>
      </c>
      <c r="AU64">
        <f t="shared" si="17"/>
        <v>3</v>
      </c>
      <c r="AV64">
        <f t="shared" si="18"/>
        <v>0</v>
      </c>
      <c r="AW64">
        <f t="shared" si="19"/>
        <v>0</v>
      </c>
      <c r="AX64" s="15"/>
    </row>
    <row r="65" spans="1:50" ht="13.5" thickBot="1">
      <c r="A65" s="11" t="s">
        <v>4</v>
      </c>
      <c r="B65" s="12" t="s">
        <v>14</v>
      </c>
      <c r="C65">
        <v>2</v>
      </c>
      <c r="G65" s="20">
        <v>0</v>
      </c>
      <c r="H65" s="13">
        <v>0</v>
      </c>
      <c r="I65" s="13">
        <v>0</v>
      </c>
      <c r="J65" s="13">
        <v>0</v>
      </c>
      <c r="K65" s="13">
        <v>0</v>
      </c>
      <c r="L65" s="13">
        <v>0</v>
      </c>
      <c r="M65" s="13">
        <v>0</v>
      </c>
      <c r="N65" s="28">
        <v>0</v>
      </c>
      <c r="O65" s="13">
        <v>0.0004343643237333589</v>
      </c>
      <c r="P65" s="13">
        <v>0</v>
      </c>
      <c r="Q65" s="13">
        <v>4.911342695153131E-05</v>
      </c>
      <c r="R65" s="13">
        <v>7.219531834496648E-07</v>
      </c>
      <c r="S65" s="13">
        <v>0</v>
      </c>
      <c r="T65" s="13">
        <v>0</v>
      </c>
      <c r="U65" s="13">
        <v>0</v>
      </c>
      <c r="V65" s="13">
        <v>0.01149032054794306</v>
      </c>
      <c r="W65" s="13">
        <v>0.0119745202518114</v>
      </c>
      <c r="X65" s="14">
        <v>2.897833900938359</v>
      </c>
      <c r="Y65" s="14"/>
      <c r="Z65" s="20">
        <v>0</v>
      </c>
      <c r="AA65" s="13">
        <v>0</v>
      </c>
      <c r="AB65" s="13">
        <v>0</v>
      </c>
      <c r="AC65" s="13">
        <v>0</v>
      </c>
      <c r="AD65" s="13">
        <v>0</v>
      </c>
      <c r="AE65" s="13">
        <v>0</v>
      </c>
      <c r="AF65" s="13">
        <v>0</v>
      </c>
      <c r="AG65" s="13">
        <v>0</v>
      </c>
      <c r="AH65" s="20">
        <v>2.1657938192905647E-07</v>
      </c>
      <c r="AI65" s="13">
        <v>0</v>
      </c>
      <c r="AJ65" s="13">
        <v>6.20431859325851E-08</v>
      </c>
      <c r="AK65" s="13">
        <v>4.2232860617799306E-09</v>
      </c>
      <c r="AL65" s="13">
        <v>0</v>
      </c>
      <c r="AM65" s="13">
        <v>0</v>
      </c>
      <c r="AN65" s="13">
        <v>0</v>
      </c>
      <c r="AO65" s="13">
        <v>0.0014693736843308118</v>
      </c>
      <c r="AP65" s="6">
        <v>0.0014696565301847353</v>
      </c>
      <c r="AQ65">
        <v>0.2781752651223946</v>
      </c>
      <c r="AR65">
        <f t="shared" si="14"/>
        <v>0</v>
      </c>
      <c r="AS65">
        <f t="shared" si="15"/>
        <v>0.8061057136741909</v>
      </c>
      <c r="AT65">
        <f t="shared" si="16"/>
        <v>0</v>
      </c>
      <c r="AU65">
        <f t="shared" si="17"/>
        <v>0</v>
      </c>
      <c r="AV65">
        <f t="shared" si="18"/>
        <v>0.2781752651223946</v>
      </c>
      <c r="AW65">
        <f t="shared" si="19"/>
        <v>1</v>
      </c>
      <c r="AX65" s="11"/>
    </row>
    <row r="66" spans="2:49" ht="12.75">
      <c r="B66" s="3" t="s">
        <v>7</v>
      </c>
      <c r="C66">
        <v>99</v>
      </c>
      <c r="G66" s="19">
        <v>0</v>
      </c>
      <c r="H66" s="4">
        <v>0</v>
      </c>
      <c r="I66" s="4">
        <v>0</v>
      </c>
      <c r="J66" s="4">
        <v>0</v>
      </c>
      <c r="K66" s="4">
        <v>0</v>
      </c>
      <c r="L66" s="4">
        <v>0</v>
      </c>
      <c r="M66" s="4">
        <v>0</v>
      </c>
      <c r="N66" s="27">
        <v>0</v>
      </c>
      <c r="O66" s="4">
        <v>0.37980996560945957</v>
      </c>
      <c r="P66" s="4">
        <v>0</v>
      </c>
      <c r="Q66" s="4">
        <v>0.006690378180761667</v>
      </c>
      <c r="R66" s="4">
        <v>4.586318826814346E-06</v>
      </c>
      <c r="S66" s="4">
        <v>0</v>
      </c>
      <c r="T66" s="4">
        <v>0</v>
      </c>
      <c r="U66" s="4">
        <v>0</v>
      </c>
      <c r="V66" s="17">
        <v>0.00015274607220545843</v>
      </c>
      <c r="W66" s="17">
        <v>0.3866576761812535</v>
      </c>
      <c r="X66" s="18">
        <v>93.57115763586336</v>
      </c>
      <c r="Y66" s="18"/>
      <c r="Z66" s="19">
        <v>0</v>
      </c>
      <c r="AA66" s="4">
        <v>0</v>
      </c>
      <c r="AB66" s="19">
        <v>0</v>
      </c>
      <c r="AC66" s="4">
        <v>0</v>
      </c>
      <c r="AD66" s="4">
        <v>0</v>
      </c>
      <c r="AE66" s="4">
        <v>0</v>
      </c>
      <c r="AF66" s="4">
        <v>0</v>
      </c>
      <c r="AG66" s="4">
        <v>0</v>
      </c>
      <c r="AH66" s="19">
        <v>0.16559282927940835</v>
      </c>
      <c r="AI66" s="17">
        <v>0</v>
      </c>
      <c r="AJ66" s="4">
        <v>0.0011513170822832954</v>
      </c>
      <c r="AK66" s="4">
        <v>1.7043583478852133E-07</v>
      </c>
      <c r="AL66" s="4">
        <v>0</v>
      </c>
      <c r="AM66" s="4">
        <v>0</v>
      </c>
      <c r="AN66" s="4">
        <v>0</v>
      </c>
      <c r="AO66" s="4">
        <v>2.5966180483716344E-07</v>
      </c>
      <c r="AP66" s="6">
        <v>0.16674457645933127</v>
      </c>
      <c r="AQ66">
        <v>0.3149723713939471</v>
      </c>
      <c r="AR66">
        <f t="shared" si="14"/>
        <v>0</v>
      </c>
      <c r="AS66">
        <f t="shared" si="15"/>
        <v>29.472329414644726</v>
      </c>
      <c r="AT66">
        <f t="shared" si="16"/>
        <v>0</v>
      </c>
      <c r="AU66">
        <f t="shared" si="17"/>
        <v>0</v>
      </c>
      <c r="AV66">
        <f t="shared" si="18"/>
        <v>0.3149723713939471</v>
      </c>
      <c r="AW66">
        <f t="shared" si="19"/>
        <v>1</v>
      </c>
    </row>
    <row r="67" spans="2:49" ht="12.75">
      <c r="B67" s="3" t="s">
        <v>15</v>
      </c>
      <c r="C67">
        <v>21</v>
      </c>
      <c r="G67" s="19">
        <v>0</v>
      </c>
      <c r="H67" s="4">
        <v>0</v>
      </c>
      <c r="I67" s="4">
        <v>0</v>
      </c>
      <c r="J67" s="4">
        <v>0</v>
      </c>
      <c r="K67" s="4">
        <v>0</v>
      </c>
      <c r="L67" s="4">
        <v>0</v>
      </c>
      <c r="M67" s="4">
        <v>0</v>
      </c>
      <c r="N67" s="27">
        <v>0</v>
      </c>
      <c r="O67" s="4">
        <v>0.08201980730016938</v>
      </c>
      <c r="P67" s="4">
        <v>0</v>
      </c>
      <c r="Q67" s="4">
        <v>0.0014447844417952332</v>
      </c>
      <c r="R67" s="4">
        <v>2.1237913782355064E-05</v>
      </c>
      <c r="S67" s="4">
        <v>0</v>
      </c>
      <c r="T67" s="4">
        <v>0</v>
      </c>
      <c r="U67" s="4">
        <v>0</v>
      </c>
      <c r="V67" s="17">
        <v>0.0007073228082458002</v>
      </c>
      <c r="W67" s="17">
        <v>0.08419315246399275</v>
      </c>
      <c r="X67" s="18">
        <v>20.374742896286246</v>
      </c>
      <c r="Y67" s="18"/>
      <c r="Z67" s="19">
        <v>0</v>
      </c>
      <c r="AA67" s="4">
        <v>0</v>
      </c>
      <c r="AB67" s="19">
        <v>0</v>
      </c>
      <c r="AC67" s="4">
        <v>0</v>
      </c>
      <c r="AD67" s="4">
        <v>0</v>
      </c>
      <c r="AE67" s="4">
        <v>0</v>
      </c>
      <c r="AF67" s="4">
        <v>0</v>
      </c>
      <c r="AG67" s="4">
        <v>0</v>
      </c>
      <c r="AH67" s="19">
        <v>0.007722293507424364</v>
      </c>
      <c r="AI67" s="17">
        <v>0</v>
      </c>
      <c r="AJ67" s="4">
        <v>5.3690781588745035E-05</v>
      </c>
      <c r="AK67" s="4">
        <v>3.654737037137343E-06</v>
      </c>
      <c r="AL67" s="4">
        <v>0</v>
      </c>
      <c r="AM67" s="4">
        <v>0</v>
      </c>
      <c r="AN67" s="4">
        <v>0</v>
      </c>
      <c r="AO67" s="4">
        <v>5.568052143763275E-06</v>
      </c>
      <c r="AP67" s="6">
        <v>0.00778520707819401</v>
      </c>
      <c r="AQ67">
        <v>0.019187797742261096</v>
      </c>
      <c r="AR67">
        <f t="shared" si="14"/>
        <v>0</v>
      </c>
      <c r="AS67">
        <f t="shared" si="15"/>
        <v>0.39094644574451154</v>
      </c>
      <c r="AT67">
        <f t="shared" si="16"/>
        <v>0</v>
      </c>
      <c r="AU67">
        <f t="shared" si="17"/>
        <v>0</v>
      </c>
      <c r="AV67">
        <f t="shared" si="18"/>
        <v>0.019187797742261096</v>
      </c>
      <c r="AW67">
        <f t="shared" si="19"/>
        <v>1</v>
      </c>
    </row>
    <row r="68" spans="2:49" ht="12.75">
      <c r="B68" s="3" t="s">
        <v>16</v>
      </c>
      <c r="C68">
        <v>44</v>
      </c>
      <c r="G68" s="19">
        <v>0</v>
      </c>
      <c r="H68" s="4">
        <v>0</v>
      </c>
      <c r="I68" s="4">
        <v>0</v>
      </c>
      <c r="J68" s="4">
        <v>0</v>
      </c>
      <c r="K68" s="4">
        <v>0</v>
      </c>
      <c r="L68" s="4">
        <v>0</v>
      </c>
      <c r="M68" s="4">
        <v>0</v>
      </c>
      <c r="N68" s="27">
        <v>0</v>
      </c>
      <c r="O68" s="4">
        <v>0.14991167822919915</v>
      </c>
      <c r="P68" s="4">
        <v>0</v>
      </c>
      <c r="Q68" s="4">
        <v>0.01695046267752627</v>
      </c>
      <c r="R68" s="4">
        <v>1.1619705792521027E-05</v>
      </c>
      <c r="S68" s="4">
        <v>0</v>
      </c>
      <c r="T68" s="4">
        <v>0</v>
      </c>
      <c r="U68" s="4">
        <v>0</v>
      </c>
      <c r="V68" s="17">
        <v>0.00038699106778484034</v>
      </c>
      <c r="W68" s="17">
        <v>0.16726075168030277</v>
      </c>
      <c r="X68" s="18">
        <v>40.47710190663327</v>
      </c>
      <c r="Y68" s="18"/>
      <c r="Z68" s="19">
        <v>0</v>
      </c>
      <c r="AA68" s="4">
        <v>0</v>
      </c>
      <c r="AB68" s="19">
        <v>0</v>
      </c>
      <c r="AC68" s="4">
        <v>0</v>
      </c>
      <c r="AD68" s="4">
        <v>0</v>
      </c>
      <c r="AE68" s="4">
        <v>0</v>
      </c>
      <c r="AF68" s="4">
        <v>0</v>
      </c>
      <c r="AG68" s="4">
        <v>0</v>
      </c>
      <c r="AH68" s="19">
        <v>0.025797626279981768</v>
      </c>
      <c r="AI68" s="17">
        <v>0</v>
      </c>
      <c r="AJ68" s="4">
        <v>0.007390209121718429</v>
      </c>
      <c r="AK68" s="4">
        <v>1.094013526164199E-06</v>
      </c>
      <c r="AL68" s="4">
        <v>0</v>
      </c>
      <c r="AM68" s="4">
        <v>0</v>
      </c>
      <c r="AN68" s="4">
        <v>0</v>
      </c>
      <c r="AO68" s="4">
        <v>1.666747647714735E-06</v>
      </c>
      <c r="AP68" s="6">
        <v>0.03319059616287408</v>
      </c>
      <c r="AQ68">
        <v>0.30661313166328924</v>
      </c>
      <c r="AR68">
        <f t="shared" si="14"/>
        <v>0</v>
      </c>
      <c r="AS68">
        <f t="shared" si="15"/>
        <v>12.410810976246923</v>
      </c>
      <c r="AT68">
        <f t="shared" si="16"/>
        <v>0</v>
      </c>
      <c r="AU68">
        <f t="shared" si="17"/>
        <v>0</v>
      </c>
      <c r="AV68">
        <f t="shared" si="18"/>
        <v>0.30661313166328924</v>
      </c>
      <c r="AW68">
        <f t="shared" si="19"/>
        <v>1</v>
      </c>
    </row>
    <row r="69" spans="2:49" ht="12.75">
      <c r="B69" s="3" t="s">
        <v>17</v>
      </c>
      <c r="C69">
        <v>8</v>
      </c>
      <c r="G69" s="19">
        <v>0</v>
      </c>
      <c r="H69" s="4">
        <v>0</v>
      </c>
      <c r="I69" s="4">
        <v>0</v>
      </c>
      <c r="J69" s="4">
        <v>0</v>
      </c>
      <c r="K69" s="4">
        <v>0</v>
      </c>
      <c r="L69" s="4">
        <v>0</v>
      </c>
      <c r="M69" s="4">
        <v>0</v>
      </c>
      <c r="N69" s="27">
        <v>0</v>
      </c>
      <c r="O69" s="4">
        <v>0.03237336582433706</v>
      </c>
      <c r="P69" s="4">
        <v>0</v>
      </c>
      <c r="Q69" s="4">
        <v>0.003660445507870032</v>
      </c>
      <c r="R69" s="4">
        <v>5.3807491174638934E-05</v>
      </c>
      <c r="S69" s="4">
        <v>0</v>
      </c>
      <c r="T69" s="4">
        <v>0</v>
      </c>
      <c r="U69" s="4">
        <v>0</v>
      </c>
      <c r="V69" s="17">
        <v>0.0017920435195441472</v>
      </c>
      <c r="W69" s="17">
        <v>0.03787966234292587</v>
      </c>
      <c r="X69" s="18">
        <v>9.16687828698806</v>
      </c>
      <c r="Y69" s="18"/>
      <c r="Z69" s="19">
        <v>0</v>
      </c>
      <c r="AA69" s="4">
        <v>0</v>
      </c>
      <c r="AB69" s="19">
        <v>0</v>
      </c>
      <c r="AC69" s="4">
        <v>0</v>
      </c>
      <c r="AD69" s="4">
        <v>0</v>
      </c>
      <c r="AE69" s="4">
        <v>0</v>
      </c>
      <c r="AF69" s="4">
        <v>0</v>
      </c>
      <c r="AG69" s="4">
        <v>0</v>
      </c>
      <c r="AH69" s="19">
        <v>0.0012030523471081014</v>
      </c>
      <c r="AI69" s="17">
        <v>0</v>
      </c>
      <c r="AJ69" s="4">
        <v>0.0003446366860660383</v>
      </c>
      <c r="AK69" s="4">
        <v>2.34594547453163E-05</v>
      </c>
      <c r="AL69" s="4">
        <v>0</v>
      </c>
      <c r="AM69" s="4">
        <v>0</v>
      </c>
      <c r="AN69" s="4">
        <v>0</v>
      </c>
      <c r="AO69" s="4">
        <v>3.574086615777145E-05</v>
      </c>
      <c r="AP69" s="6">
        <v>0.0016068893540772274</v>
      </c>
      <c r="AQ69">
        <v>0.14853529129724813</v>
      </c>
      <c r="AR69">
        <f t="shared" si="14"/>
        <v>0</v>
      </c>
      <c r="AS69">
        <f t="shared" si="15"/>
        <v>1.3616049366441905</v>
      </c>
      <c r="AT69">
        <f t="shared" si="16"/>
        <v>0</v>
      </c>
      <c r="AU69">
        <f t="shared" si="17"/>
        <v>0</v>
      </c>
      <c r="AV69">
        <f t="shared" si="18"/>
        <v>0.14853529129724813</v>
      </c>
      <c r="AW69">
        <f t="shared" si="19"/>
        <v>1</v>
      </c>
    </row>
    <row r="70" spans="2:49" ht="12.75">
      <c r="B70" s="3" t="s">
        <v>18</v>
      </c>
      <c r="C70">
        <v>5</v>
      </c>
      <c r="G70" s="19">
        <v>0</v>
      </c>
      <c r="H70" s="4">
        <v>0</v>
      </c>
      <c r="I70" s="4">
        <v>0</v>
      </c>
      <c r="J70" s="4">
        <v>0</v>
      </c>
      <c r="K70" s="4">
        <v>0</v>
      </c>
      <c r="L70" s="4">
        <v>0</v>
      </c>
      <c r="M70" s="4">
        <v>0</v>
      </c>
      <c r="N70" s="27">
        <v>0</v>
      </c>
      <c r="O70" s="4">
        <v>0.017374315594135804</v>
      </c>
      <c r="P70" s="4">
        <v>0</v>
      </c>
      <c r="Q70" s="4">
        <v>0.0003060497419285679</v>
      </c>
      <c r="R70" s="4">
        <v>2.0980005246711857E-07</v>
      </c>
      <c r="S70" s="4">
        <v>0</v>
      </c>
      <c r="T70" s="4">
        <v>0</v>
      </c>
      <c r="U70" s="4">
        <v>0</v>
      </c>
      <c r="V70" s="17">
        <v>0.0033390944303392472</v>
      </c>
      <c r="W70" s="17">
        <v>0.021019669566456085</v>
      </c>
      <c r="X70" s="18">
        <v>5.0867600350823725</v>
      </c>
      <c r="Y70" s="18"/>
      <c r="Z70" s="19">
        <v>0</v>
      </c>
      <c r="AA70" s="4">
        <v>0</v>
      </c>
      <c r="AB70" s="19">
        <v>0</v>
      </c>
      <c r="AC70" s="4">
        <v>0</v>
      </c>
      <c r="AD70" s="4">
        <v>0</v>
      </c>
      <c r="AE70" s="4">
        <v>0</v>
      </c>
      <c r="AF70" s="4">
        <v>0</v>
      </c>
      <c r="AG70" s="4">
        <v>0</v>
      </c>
      <c r="AH70" s="19">
        <v>0.0003465167455257168</v>
      </c>
      <c r="AI70" s="17">
        <v>0</v>
      </c>
      <c r="AJ70" s="4">
        <v>2.4092265960853497E-06</v>
      </c>
      <c r="AK70" s="4">
        <v>3.56651136700043E-10</v>
      </c>
      <c r="AL70" s="4">
        <v>0</v>
      </c>
      <c r="AM70" s="4">
        <v>0</v>
      </c>
      <c r="AN70" s="4">
        <v>0</v>
      </c>
      <c r="AO70" s="4">
        <v>0.00012408673887765215</v>
      </c>
      <c r="AP70" s="6">
        <v>0.00047301306765059096</v>
      </c>
      <c r="AQ70">
        <v>0.0014797835234176947</v>
      </c>
      <c r="AR70">
        <f t="shared" si="14"/>
        <v>0</v>
      </c>
      <c r="AS70">
        <f t="shared" si="15"/>
        <v>0.007527303687494509</v>
      </c>
      <c r="AT70">
        <f t="shared" si="16"/>
        <v>0</v>
      </c>
      <c r="AU70">
        <f t="shared" si="17"/>
        <v>0</v>
      </c>
      <c r="AV70">
        <f t="shared" si="18"/>
        <v>0.0014797835234176947</v>
      </c>
      <c r="AW70">
        <f t="shared" si="19"/>
        <v>1</v>
      </c>
    </row>
    <row r="71" spans="2:49" ht="12.75">
      <c r="B71" s="16" t="s">
        <v>19</v>
      </c>
      <c r="C71">
        <v>1</v>
      </c>
      <c r="G71" s="19">
        <v>0</v>
      </c>
      <c r="H71" s="4">
        <v>0</v>
      </c>
      <c r="I71" s="4">
        <v>0</v>
      </c>
      <c r="J71" s="4">
        <v>0</v>
      </c>
      <c r="K71" s="4">
        <v>0</v>
      </c>
      <c r="L71" s="4">
        <v>0</v>
      </c>
      <c r="M71" s="4">
        <v>0</v>
      </c>
      <c r="N71" s="27">
        <v>0</v>
      </c>
      <c r="O71" s="4">
        <v>0.003751976372491091</v>
      </c>
      <c r="P71" s="4">
        <v>0</v>
      </c>
      <c r="Q71" s="4">
        <v>6.60913170536948E-05</v>
      </c>
      <c r="R71" s="4">
        <v>9.715232617016227E-07</v>
      </c>
      <c r="S71" s="4">
        <v>0</v>
      </c>
      <c r="T71" s="4">
        <v>0</v>
      </c>
      <c r="U71" s="4">
        <v>0</v>
      </c>
      <c r="V71" s="17">
        <v>0.015462378936255664</v>
      </c>
      <c r="W71" s="17">
        <v>0.019281418149062153</v>
      </c>
      <c r="X71" s="18">
        <v>4.666103192073041</v>
      </c>
      <c r="Y71" s="18"/>
      <c r="Z71" s="19">
        <v>0</v>
      </c>
      <c r="AA71" s="4">
        <v>0</v>
      </c>
      <c r="AB71" s="19">
        <v>0</v>
      </c>
      <c r="AC71" s="4">
        <v>0</v>
      </c>
      <c r="AD71" s="4">
        <v>0</v>
      </c>
      <c r="AE71" s="4">
        <v>0</v>
      </c>
      <c r="AF71" s="4">
        <v>0</v>
      </c>
      <c r="AG71" s="4">
        <v>0</v>
      </c>
      <c r="AH71" s="19">
        <v>1.615954039695736E-05</v>
      </c>
      <c r="AI71" s="17">
        <v>0</v>
      </c>
      <c r="AJ71" s="4">
        <v>1.1235241877214254E-07</v>
      </c>
      <c r="AK71" s="4">
        <v>7.64784072699345E-09</v>
      </c>
      <c r="AL71" s="4">
        <v>0</v>
      </c>
      <c r="AM71" s="4">
        <v>0</v>
      </c>
      <c r="AN71" s="4">
        <v>0</v>
      </c>
      <c r="AO71" s="4">
        <v>0.0026608512285955527</v>
      </c>
      <c r="AP71" s="6">
        <v>0.002677130769252009</v>
      </c>
      <c r="AQ71">
        <v>2.880414783316638</v>
      </c>
      <c r="AR71">
        <f t="shared" si="14"/>
        <v>0</v>
      </c>
      <c r="AS71">
        <f t="shared" si="15"/>
        <v>13.44031261492814</v>
      </c>
      <c r="AT71">
        <f t="shared" si="16"/>
        <v>0</v>
      </c>
      <c r="AU71">
        <f t="shared" si="17"/>
        <v>0</v>
      </c>
      <c r="AV71">
        <f t="shared" si="18"/>
        <v>2.880414783316638</v>
      </c>
      <c r="AW71">
        <f t="shared" si="19"/>
        <v>1</v>
      </c>
    </row>
    <row r="72" spans="2:49" ht="12.75">
      <c r="B72" s="16" t="s">
        <v>20</v>
      </c>
      <c r="C72">
        <v>2</v>
      </c>
      <c r="G72" s="19">
        <v>0</v>
      </c>
      <c r="H72" s="4">
        <v>0</v>
      </c>
      <c r="I72" s="4">
        <v>0</v>
      </c>
      <c r="J72" s="4">
        <v>0</v>
      </c>
      <c r="K72" s="4">
        <v>0</v>
      </c>
      <c r="L72" s="4">
        <v>0</v>
      </c>
      <c r="M72" s="4">
        <v>0</v>
      </c>
      <c r="N72" s="27">
        <v>0</v>
      </c>
      <c r="O72" s="4">
        <v>0.006857673691160706</v>
      </c>
      <c r="P72" s="4">
        <v>0</v>
      </c>
      <c r="Q72" s="4">
        <v>0.0007753948413475401</v>
      </c>
      <c r="R72" s="4">
        <v>5.315406488250398E-07</v>
      </c>
      <c r="S72" s="4">
        <v>0</v>
      </c>
      <c r="T72" s="4">
        <v>0</v>
      </c>
      <c r="U72" s="4">
        <v>0</v>
      </c>
      <c r="V72" s="17">
        <v>0.008459790162677725</v>
      </c>
      <c r="W72" s="17">
        <v>0.016093390235834795</v>
      </c>
      <c r="X72" s="18">
        <v>3.8946004370720204</v>
      </c>
      <c r="Y72" s="18"/>
      <c r="Z72" s="19">
        <v>0</v>
      </c>
      <c r="AA72" s="4">
        <v>0</v>
      </c>
      <c r="AB72" s="19">
        <v>0</v>
      </c>
      <c r="AC72" s="4">
        <v>0</v>
      </c>
      <c r="AD72" s="4">
        <v>0</v>
      </c>
      <c r="AE72" s="4">
        <v>0</v>
      </c>
      <c r="AF72" s="4">
        <v>0</v>
      </c>
      <c r="AG72" s="4">
        <v>0</v>
      </c>
      <c r="AH72" s="19">
        <v>5.3983675136949894E-05</v>
      </c>
      <c r="AI72" s="17">
        <v>0</v>
      </c>
      <c r="AJ72" s="4">
        <v>1.5464626244723372E-05</v>
      </c>
      <c r="AK72" s="4">
        <v>2.289314146616085E-09</v>
      </c>
      <c r="AL72" s="4">
        <v>0</v>
      </c>
      <c r="AM72" s="4">
        <v>0</v>
      </c>
      <c r="AN72" s="4">
        <v>0</v>
      </c>
      <c r="AO72" s="4">
        <v>0.0007965025132079746</v>
      </c>
      <c r="AP72" s="6">
        <v>0.0008659531039037946</v>
      </c>
      <c r="AQ72">
        <v>0.9216634348380299</v>
      </c>
      <c r="AR72">
        <f t="shared" si="14"/>
        <v>0</v>
      </c>
      <c r="AS72">
        <f t="shared" si="15"/>
        <v>3.5895108161534908</v>
      </c>
      <c r="AT72">
        <f t="shared" si="16"/>
        <v>0</v>
      </c>
      <c r="AU72">
        <f t="shared" si="17"/>
        <v>0</v>
      </c>
      <c r="AV72">
        <f t="shared" si="18"/>
        <v>0.9216634348380299</v>
      </c>
      <c r="AW72">
        <f t="shared" si="19"/>
        <v>1</v>
      </c>
    </row>
    <row r="73" spans="2:49" ht="13.5" thickBot="1">
      <c r="B73" s="12" t="s">
        <v>21</v>
      </c>
      <c r="C73">
        <v>10</v>
      </c>
      <c r="G73" s="19">
        <v>0</v>
      </c>
      <c r="H73" s="4">
        <v>0</v>
      </c>
      <c r="I73" s="4">
        <v>0</v>
      </c>
      <c r="J73" s="4">
        <v>0</v>
      </c>
      <c r="K73" s="4">
        <v>0</v>
      </c>
      <c r="L73" s="4">
        <v>0</v>
      </c>
      <c r="M73" s="4">
        <v>0</v>
      </c>
      <c r="N73" s="27">
        <v>0</v>
      </c>
      <c r="O73" s="4">
        <v>0.0014809118390927065</v>
      </c>
      <c r="P73" s="4">
        <v>0</v>
      </c>
      <c r="Q73" s="4">
        <v>0.0001674462000143123</v>
      </c>
      <c r="R73" s="4">
        <v>2.461410751813011E-06</v>
      </c>
      <c r="S73" s="4">
        <v>0</v>
      </c>
      <c r="T73" s="4">
        <v>0</v>
      </c>
      <c r="U73" s="4">
        <v>0</v>
      </c>
      <c r="V73" s="17">
        <v>0.03917483735350395</v>
      </c>
      <c r="W73" s="17">
        <v>0.04082565680336278</v>
      </c>
      <c r="X73" s="18">
        <v>9.879808946413792</v>
      </c>
      <c r="Y73" s="18"/>
      <c r="Z73" s="19">
        <v>0</v>
      </c>
      <c r="AA73" s="4">
        <v>0</v>
      </c>
      <c r="AB73" s="19">
        <v>0</v>
      </c>
      <c r="AC73" s="4">
        <v>0</v>
      </c>
      <c r="AD73" s="4">
        <v>0</v>
      </c>
      <c r="AE73" s="4">
        <v>0</v>
      </c>
      <c r="AF73" s="4">
        <v>0</v>
      </c>
      <c r="AG73" s="4">
        <v>0</v>
      </c>
      <c r="AH73" s="19">
        <v>2.5174869336495688E-06</v>
      </c>
      <c r="AI73" s="17">
        <v>0</v>
      </c>
      <c r="AJ73" s="4">
        <v>7.211808830373188E-07</v>
      </c>
      <c r="AK73" s="4">
        <v>4.90908570469464E-08</v>
      </c>
      <c r="AL73" s="4">
        <v>0</v>
      </c>
      <c r="AM73" s="4">
        <v>0</v>
      </c>
      <c r="AN73" s="4">
        <v>0</v>
      </c>
      <c r="AO73" s="4">
        <v>0.017079783948053946</v>
      </c>
      <c r="AP73" s="6">
        <v>0.017083071706727678</v>
      </c>
      <c r="AQ73">
        <v>0.0014621628252645769</v>
      </c>
      <c r="AR73">
        <f t="shared" si="14"/>
        <v>0</v>
      </c>
      <c r="AS73">
        <f t="shared" si="15"/>
        <v>0.014445889362162633</v>
      </c>
      <c r="AT73">
        <f t="shared" si="16"/>
        <v>0</v>
      </c>
      <c r="AU73">
        <f t="shared" si="17"/>
        <v>0</v>
      </c>
      <c r="AV73">
        <f t="shared" si="18"/>
        <v>0.0014621628252645769</v>
      </c>
      <c r="AW73">
        <f t="shared" si="19"/>
        <v>1</v>
      </c>
    </row>
    <row r="74" spans="3:50" ht="12.75">
      <c r="C74" s="2">
        <v>242</v>
      </c>
      <c r="D74" s="2">
        <v>0</v>
      </c>
      <c r="E74" s="2">
        <v>0</v>
      </c>
      <c r="F74" s="2">
        <v>0</v>
      </c>
      <c r="G74" s="33">
        <v>0</v>
      </c>
      <c r="H74" s="2">
        <v>0</v>
      </c>
      <c r="I74" s="2">
        <v>0</v>
      </c>
      <c r="J74" s="2">
        <v>0</v>
      </c>
      <c r="K74" s="2">
        <v>0</v>
      </c>
      <c r="L74" s="2">
        <v>0</v>
      </c>
      <c r="M74" s="2">
        <v>0</v>
      </c>
      <c r="N74" s="29">
        <v>0</v>
      </c>
      <c r="O74" s="2">
        <v>0.8711464778034154</v>
      </c>
      <c r="P74" s="2">
        <v>0</v>
      </c>
      <c r="Q74" s="2">
        <v>0.03887822120457148</v>
      </c>
      <c r="R74" s="2">
        <v>0.00012341489339546074</v>
      </c>
      <c r="S74" s="2">
        <v>0</v>
      </c>
      <c r="T74" s="2">
        <v>0</v>
      </c>
      <c r="U74" s="2">
        <v>0</v>
      </c>
      <c r="V74" s="32">
        <v>0.08985288609861761</v>
      </c>
      <c r="W74" s="32">
        <v>1.0000009999999997</v>
      </c>
      <c r="X74" s="32">
        <v>242.000242</v>
      </c>
      <c r="Y74" s="32"/>
      <c r="Z74" s="33">
        <v>0</v>
      </c>
      <c r="AA74" s="2">
        <v>0</v>
      </c>
      <c r="AB74" s="2">
        <v>0</v>
      </c>
      <c r="AC74" s="2">
        <v>0</v>
      </c>
      <c r="AD74" s="2">
        <v>0</v>
      </c>
      <c r="AE74" s="2">
        <v>0</v>
      </c>
      <c r="AF74" s="2">
        <v>0</v>
      </c>
      <c r="AG74" s="2">
        <v>0</v>
      </c>
      <c r="AH74" s="2">
        <v>0.21800420758058522</v>
      </c>
      <c r="AI74" s="2">
        <v>0</v>
      </c>
      <c r="AJ74" s="2">
        <v>0.009729265998086187</v>
      </c>
      <c r="AK74" s="2">
        <v>3.088454895227304E-05</v>
      </c>
      <c r="AL74" s="2">
        <v>0</v>
      </c>
      <c r="AM74" s="2">
        <v>0</v>
      </c>
      <c r="AN74" s="2">
        <v>0</v>
      </c>
      <c r="AO74" s="2">
        <v>0.022485664273302664</v>
      </c>
      <c r="AP74" s="2">
        <v>0.2502500224009264</v>
      </c>
      <c r="AQ74" s="36">
        <v>13.399289550002814</v>
      </c>
      <c r="AR74" s="36">
        <f>SUM(AR58:AR73)</f>
        <v>3</v>
      </c>
      <c r="AT74">
        <f>SUM(AT58:AT73)</f>
        <v>4.002919801640292</v>
      </c>
      <c r="AU74">
        <f>SUM(AU58:AU73)</f>
        <v>6</v>
      </c>
      <c r="AV74" s="36">
        <f>SUM(AV58:AV73)</f>
        <v>6.941646476950232</v>
      </c>
      <c r="AW74" s="36">
        <f>SUM(AW58:AW73)</f>
        <v>13</v>
      </c>
      <c r="AX74" t="s">
        <v>64</v>
      </c>
    </row>
    <row r="75" spans="13:48" ht="12.75">
      <c r="M75" s="15"/>
      <c r="N75" s="15"/>
      <c r="AQ75" t="s">
        <v>38</v>
      </c>
      <c r="AU75" s="36">
        <f>POWER(AT74-AU74,2)/AT74</f>
        <v>0.996355039900159</v>
      </c>
      <c r="AV75" s="41">
        <f>AV74+AU75</f>
        <v>7.938001516850391</v>
      </c>
    </row>
    <row r="76" spans="5:47" ht="12.75">
      <c r="E76" t="s">
        <v>106</v>
      </c>
      <c r="F76">
        <v>0</v>
      </c>
      <c r="M76" s="15"/>
      <c r="N76" s="15"/>
      <c r="AP76" t="s">
        <v>106</v>
      </c>
      <c r="AU76" t="s">
        <v>61</v>
      </c>
    </row>
    <row r="77" ht="12.75">
      <c r="AP77" t="s">
        <v>0</v>
      </c>
    </row>
    <row r="78" spans="1:43" ht="12.75">
      <c r="A78" t="s">
        <v>52</v>
      </c>
      <c r="C78" t="s">
        <v>53</v>
      </c>
      <c r="AQ78">
        <f>25.21-AQ74</f>
        <v>11.810710449997186</v>
      </c>
    </row>
    <row r="79" spans="4:26" ht="12.75">
      <c r="D79" t="s">
        <v>3</v>
      </c>
      <c r="Z79"/>
    </row>
    <row r="81" ht="12.75">
      <c r="D81" t="s">
        <v>50</v>
      </c>
    </row>
    <row r="82" ht="12.75">
      <c r="D82" s="9" t="s">
        <v>36</v>
      </c>
    </row>
    <row r="83" spans="1:2" ht="12.75">
      <c r="A83" t="s">
        <v>35</v>
      </c>
      <c r="B83" s="1">
        <v>0.1666091443573717</v>
      </c>
    </row>
    <row r="85" ht="12.75">
      <c r="E85" t="s">
        <v>49</v>
      </c>
    </row>
    <row r="86" spans="2:3" ht="12.75">
      <c r="B86" t="s">
        <v>98</v>
      </c>
      <c r="C86" s="1">
        <v>0.04374371397953129</v>
      </c>
    </row>
    <row r="87" spans="2:26" ht="12.75">
      <c r="B87" t="s">
        <v>99</v>
      </c>
      <c r="C87" s="1">
        <v>0.283000855209267</v>
      </c>
      <c r="Z87" s="21" t="s">
        <v>34</v>
      </c>
    </row>
    <row r="88" spans="2:3" ht="12.75">
      <c r="B88" t="s">
        <v>100</v>
      </c>
      <c r="C88" s="1">
        <v>0.17759748745393045</v>
      </c>
    </row>
    <row r="89" spans="2:50" ht="12.75">
      <c r="B89" t="s">
        <v>5</v>
      </c>
      <c r="C89" s="1">
        <v>0.22678939578741336</v>
      </c>
      <c r="G89" s="21" t="s">
        <v>107</v>
      </c>
      <c r="Z89" s="21" t="s">
        <v>101</v>
      </c>
      <c r="AP89" t="s">
        <v>108</v>
      </c>
      <c r="AX89" t="s">
        <v>92</v>
      </c>
    </row>
    <row r="90" spans="23:43" ht="12.75">
      <c r="W90" s="30" t="s">
        <v>22</v>
      </c>
      <c r="X90" s="15" t="s">
        <v>2</v>
      </c>
      <c r="AP90" t="s">
        <v>22</v>
      </c>
      <c r="AQ90" t="s">
        <v>37</v>
      </c>
    </row>
    <row r="91" spans="5:52" ht="12.75">
      <c r="E91" s="2"/>
      <c r="F91" s="2"/>
      <c r="G91" s="37">
        <v>0</v>
      </c>
      <c r="H91" s="5">
        <v>0</v>
      </c>
      <c r="I91" s="5">
        <v>0</v>
      </c>
      <c r="J91" s="5">
        <v>0</v>
      </c>
      <c r="K91" s="5">
        <v>0</v>
      </c>
      <c r="L91" s="5">
        <v>0</v>
      </c>
      <c r="M91" s="5">
        <v>0</v>
      </c>
      <c r="N91" s="25">
        <v>0</v>
      </c>
      <c r="O91" s="38">
        <v>0.8711464778034154</v>
      </c>
      <c r="P91" s="38">
        <v>0</v>
      </c>
      <c r="Q91" s="38">
        <v>0.03887822120457149</v>
      </c>
      <c r="R91" s="38">
        <v>0.00012341489339546074</v>
      </c>
      <c r="S91" s="5">
        <v>0</v>
      </c>
      <c r="T91" s="5">
        <v>0</v>
      </c>
      <c r="U91" s="5">
        <v>0</v>
      </c>
      <c r="V91" s="39">
        <v>0.0898528860986176</v>
      </c>
      <c r="W91" s="17">
        <v>1.000001</v>
      </c>
      <c r="X91" s="15" t="s">
        <v>97</v>
      </c>
      <c r="Z91" s="34">
        <v>0</v>
      </c>
      <c r="AA91" s="8">
        <v>0</v>
      </c>
      <c r="AB91" s="8">
        <v>0</v>
      </c>
      <c r="AC91" s="8">
        <v>0</v>
      </c>
      <c r="AD91" s="8">
        <v>0</v>
      </c>
      <c r="AE91" s="8">
        <v>0</v>
      </c>
      <c r="AF91" s="8">
        <v>0</v>
      </c>
      <c r="AG91" s="8">
        <v>0</v>
      </c>
      <c r="AH91" s="34">
        <v>0.8711464778034154</v>
      </c>
      <c r="AI91" s="35">
        <v>0</v>
      </c>
      <c r="AJ91" s="8">
        <v>0.03887822120457149</v>
      </c>
      <c r="AK91" s="8">
        <v>0.00012341489339546074</v>
      </c>
      <c r="AL91" s="8">
        <v>0</v>
      </c>
      <c r="AM91" s="8">
        <v>0</v>
      </c>
      <c r="AN91" s="8">
        <v>0</v>
      </c>
      <c r="AO91" s="8">
        <v>0.0898528860986176</v>
      </c>
      <c r="AP91" s="6">
        <v>1.000001</v>
      </c>
      <c r="AX91" s="53" t="s">
        <v>90</v>
      </c>
      <c r="AY91" s="53" t="s">
        <v>91</v>
      </c>
      <c r="AZ91" s="53"/>
    </row>
    <row r="92" spans="2:52" ht="12.75">
      <c r="B92" t="s">
        <v>1</v>
      </c>
      <c r="C92" t="s">
        <v>102</v>
      </c>
      <c r="D92" t="s">
        <v>103</v>
      </c>
      <c r="E92" t="s">
        <v>104</v>
      </c>
      <c r="F92" t="s">
        <v>105</v>
      </c>
      <c r="G92" s="23" t="s">
        <v>6</v>
      </c>
      <c r="H92" s="7" t="s">
        <v>8</v>
      </c>
      <c r="I92" s="7" t="s">
        <v>9</v>
      </c>
      <c r="J92" s="7" t="s">
        <v>10</v>
      </c>
      <c r="K92" s="7" t="s">
        <v>11</v>
      </c>
      <c r="L92" s="7" t="s">
        <v>12</v>
      </c>
      <c r="M92" s="7" t="s">
        <v>13</v>
      </c>
      <c r="N92" s="26" t="s">
        <v>14</v>
      </c>
      <c r="O92" s="7" t="s">
        <v>7</v>
      </c>
      <c r="P92" s="7" t="s">
        <v>15</v>
      </c>
      <c r="Q92" s="7" t="s">
        <v>16</v>
      </c>
      <c r="R92" s="7" t="s">
        <v>17</v>
      </c>
      <c r="S92" s="7" t="s">
        <v>18</v>
      </c>
      <c r="T92" s="7" t="s">
        <v>19</v>
      </c>
      <c r="U92" s="7" t="s">
        <v>20</v>
      </c>
      <c r="V92" s="31" t="s">
        <v>21</v>
      </c>
      <c r="W92" s="31"/>
      <c r="Z92" s="23" t="s">
        <v>6</v>
      </c>
      <c r="AA92" s="7" t="s">
        <v>8</v>
      </c>
      <c r="AB92" s="7" t="s">
        <v>9</v>
      </c>
      <c r="AC92" s="7" t="s">
        <v>10</v>
      </c>
      <c r="AD92" s="7" t="s">
        <v>11</v>
      </c>
      <c r="AE92" s="7" t="s">
        <v>12</v>
      </c>
      <c r="AF92" s="7" t="s">
        <v>13</v>
      </c>
      <c r="AG92" s="26" t="s">
        <v>14</v>
      </c>
      <c r="AH92" s="7" t="s">
        <v>7</v>
      </c>
      <c r="AI92" s="7" t="s">
        <v>15</v>
      </c>
      <c r="AJ92" s="7" t="s">
        <v>16</v>
      </c>
      <c r="AK92" s="7" t="s">
        <v>17</v>
      </c>
      <c r="AL92" s="7" t="s">
        <v>18</v>
      </c>
      <c r="AM92" s="7" t="s">
        <v>19</v>
      </c>
      <c r="AN92" s="7" t="s">
        <v>20</v>
      </c>
      <c r="AO92" s="31" t="s">
        <v>21</v>
      </c>
      <c r="AP92" s="6"/>
      <c r="AR92" t="s">
        <v>58</v>
      </c>
      <c r="AS92" t="s">
        <v>59</v>
      </c>
      <c r="AT92" t="s">
        <v>60</v>
      </c>
      <c r="AU92" t="s">
        <v>62</v>
      </c>
      <c r="AW92" t="s">
        <v>63</v>
      </c>
      <c r="AX92" s="53"/>
      <c r="AY92" s="53"/>
      <c r="AZ92" s="53"/>
    </row>
    <row r="93" spans="2:52" ht="12.75">
      <c r="B93" s="16" t="s">
        <v>6</v>
      </c>
      <c r="C93">
        <v>27</v>
      </c>
      <c r="G93" s="19">
        <v>0</v>
      </c>
      <c r="H93" s="4">
        <v>0</v>
      </c>
      <c r="I93" s="4">
        <v>0</v>
      </c>
      <c r="J93" s="4">
        <v>0</v>
      </c>
      <c r="K93" s="4">
        <v>0</v>
      </c>
      <c r="L93" s="4">
        <v>0</v>
      </c>
      <c r="M93" s="4">
        <v>0</v>
      </c>
      <c r="N93" s="27">
        <v>0</v>
      </c>
      <c r="O93" s="4">
        <v>0.11140156659171362</v>
      </c>
      <c r="P93" s="4">
        <v>0</v>
      </c>
      <c r="Q93" s="4">
        <v>0.0019623461149364473</v>
      </c>
      <c r="R93" s="4">
        <v>1.345207204809223E-06</v>
      </c>
      <c r="S93" s="4">
        <v>0</v>
      </c>
      <c r="T93" s="4">
        <v>0</v>
      </c>
      <c r="U93" s="4">
        <v>0</v>
      </c>
      <c r="V93" s="17">
        <v>4.480175159994608E-05</v>
      </c>
      <c r="W93" s="17">
        <v>0.11341005966545482</v>
      </c>
      <c r="X93" s="18">
        <v>27.445234439040068</v>
      </c>
      <c r="Y93" s="18"/>
      <c r="Z93" s="19">
        <v>0</v>
      </c>
      <c r="AA93" s="4">
        <v>0</v>
      </c>
      <c r="AB93" s="4">
        <v>0</v>
      </c>
      <c r="AC93" s="4">
        <v>0</v>
      </c>
      <c r="AD93" s="4">
        <v>0</v>
      </c>
      <c r="AE93" s="4">
        <v>0</v>
      </c>
      <c r="AF93" s="4">
        <v>0</v>
      </c>
      <c r="AG93" s="4">
        <v>0</v>
      </c>
      <c r="AH93" s="19">
        <v>0.014245949854931904</v>
      </c>
      <c r="AI93" s="17">
        <v>0</v>
      </c>
      <c r="AJ93" s="4">
        <v>9.904779991203334E-05</v>
      </c>
      <c r="AK93" s="4">
        <v>1.4662593582382014E-08</v>
      </c>
      <c r="AL93" s="4">
        <v>0</v>
      </c>
      <c r="AM93" s="4">
        <v>0</v>
      </c>
      <c r="AN93" s="4">
        <v>0</v>
      </c>
      <c r="AO93" s="4">
        <v>2.2338703113223116E-08</v>
      </c>
      <c r="AP93" s="6">
        <v>0.014345034656140633</v>
      </c>
      <c r="AQ93">
        <v>0.007222882579036811</v>
      </c>
      <c r="AR93">
        <f>IF(X93&lt;4,1,0)</f>
        <v>0</v>
      </c>
      <c r="AS93">
        <f>POWER(C93-X93,2)</f>
        <v>0.19823370570732363</v>
      </c>
      <c r="AT93">
        <f>AR93*X93</f>
        <v>0</v>
      </c>
      <c r="AU93">
        <f>IF(AR93=1,C93,0)</f>
        <v>0</v>
      </c>
      <c r="AV93">
        <f>IF(AR93=0,AQ93,0)</f>
        <v>0.007222882579036811</v>
      </c>
      <c r="AW93">
        <f>IF(AV93&gt;0.00001,1,0)</f>
        <v>1</v>
      </c>
      <c r="AX93" s="53">
        <f>100*(C97+C98+C99+C100+C105+C106+C107+C108)/C109</f>
        <v>10.743801652892563</v>
      </c>
      <c r="AY93" s="53">
        <f>100*(X97+X98+X99+X100+X105+X106+X107+X108)/X109</f>
        <v>12.573552018687602</v>
      </c>
      <c r="AZ93" s="53" t="s">
        <v>93</v>
      </c>
    </row>
    <row r="94" spans="2:52" ht="12.75">
      <c r="B94" s="16" t="s">
        <v>8</v>
      </c>
      <c r="C94">
        <v>5</v>
      </c>
      <c r="G94" s="19">
        <v>0</v>
      </c>
      <c r="H94" s="4">
        <v>0</v>
      </c>
      <c r="I94" s="4">
        <v>0</v>
      </c>
      <c r="J94" s="4">
        <v>0</v>
      </c>
      <c r="K94" s="4">
        <v>0</v>
      </c>
      <c r="L94" s="4">
        <v>0</v>
      </c>
      <c r="M94" s="4">
        <v>0</v>
      </c>
      <c r="N94" s="27">
        <v>0</v>
      </c>
      <c r="O94" s="4">
        <v>0.02405712290915667</v>
      </c>
      <c r="P94" s="4">
        <v>0</v>
      </c>
      <c r="Q94" s="4">
        <v>0.00042376784386121644</v>
      </c>
      <c r="R94" s="4">
        <v>6.229264844848436E-06</v>
      </c>
      <c r="S94" s="4">
        <v>0</v>
      </c>
      <c r="T94" s="4">
        <v>0</v>
      </c>
      <c r="U94" s="4">
        <v>0</v>
      </c>
      <c r="V94" s="17">
        <v>0.0002074639321224537</v>
      </c>
      <c r="W94" s="17">
        <v>0.024694583949985187</v>
      </c>
      <c r="X94" s="18">
        <v>5.976089315896415</v>
      </c>
      <c r="Y94" s="18"/>
      <c r="Z94" s="19">
        <v>0</v>
      </c>
      <c r="AA94" s="4">
        <v>0</v>
      </c>
      <c r="AB94" s="4">
        <v>0</v>
      </c>
      <c r="AC94" s="4">
        <v>0</v>
      </c>
      <c r="AD94" s="4">
        <v>0</v>
      </c>
      <c r="AE94" s="4">
        <v>0</v>
      </c>
      <c r="AF94" s="4">
        <v>0</v>
      </c>
      <c r="AG94" s="4">
        <v>0</v>
      </c>
      <c r="AH94" s="19">
        <v>0.0006643488522453412</v>
      </c>
      <c r="AI94" s="17">
        <v>0</v>
      </c>
      <c r="AJ94" s="4">
        <v>4.619017535443944E-06</v>
      </c>
      <c r="AK94" s="4">
        <v>3.1441699976132565E-07</v>
      </c>
      <c r="AL94" s="4">
        <v>0</v>
      </c>
      <c r="AM94" s="4">
        <v>0</v>
      </c>
      <c r="AN94" s="4">
        <v>0</v>
      </c>
      <c r="AO94" s="4">
        <v>4.790194839648259E-07</v>
      </c>
      <c r="AP94" s="6">
        <v>0.0006697613062645113</v>
      </c>
      <c r="AQ94">
        <v>0.15942706044784377</v>
      </c>
      <c r="AR94">
        <f aca="true" t="shared" si="20" ref="AR94:AR108">IF(X94&lt;4,1,0)</f>
        <v>0</v>
      </c>
      <c r="AS94">
        <f aca="true" t="shared" si="21" ref="AS94:AS108">POWER(C94-X94,2)</f>
        <v>0.952750352607131</v>
      </c>
      <c r="AT94">
        <f aca="true" t="shared" si="22" ref="AT94:AT108">AR94*X94</f>
        <v>0</v>
      </c>
      <c r="AU94">
        <f aca="true" t="shared" si="23" ref="AU94:AU108">IF(AR94=1,C94,0)</f>
        <v>0</v>
      </c>
      <c r="AV94">
        <f aca="true" t="shared" si="24" ref="AV94:AV108">IF(AR94=0,AQ94,0)</f>
        <v>0.15942706044784377</v>
      </c>
      <c r="AW94">
        <f aca="true" t="shared" si="25" ref="AW94:AW108">IF(AV94&gt;0.00001,1,0)</f>
        <v>1</v>
      </c>
      <c r="AX94" s="53">
        <f>100*(C95+C96+C99+C100+C103+C104+C107+C108)/C109</f>
        <v>33.47107438016529</v>
      </c>
      <c r="AY94" s="53">
        <f>100*(X95+X96+X99+X100+X103+X104+X107+X108)/X109</f>
        <v>33.89234415248353</v>
      </c>
      <c r="AZ94" s="53" t="s">
        <v>94</v>
      </c>
    </row>
    <row r="95" spans="2:52" ht="12.75">
      <c r="B95" s="16" t="s">
        <v>9</v>
      </c>
      <c r="C95">
        <v>8</v>
      </c>
      <c r="G95" s="19">
        <v>0</v>
      </c>
      <c r="H95" s="4">
        <v>0</v>
      </c>
      <c r="I95" s="4">
        <v>0</v>
      </c>
      <c r="J95" s="4">
        <v>0</v>
      </c>
      <c r="K95" s="4">
        <v>0</v>
      </c>
      <c r="L95" s="4">
        <v>0</v>
      </c>
      <c r="M95" s="4">
        <v>0</v>
      </c>
      <c r="N95" s="27">
        <v>0</v>
      </c>
      <c r="O95" s="4">
        <v>0.04397039919246851</v>
      </c>
      <c r="P95" s="4">
        <v>0</v>
      </c>
      <c r="Q95" s="4">
        <v>0.004971718142520926</v>
      </c>
      <c r="R95" s="4">
        <v>3.408160779942979E-06</v>
      </c>
      <c r="S95" s="4">
        <v>0</v>
      </c>
      <c r="T95" s="4">
        <v>0</v>
      </c>
      <c r="U95" s="4">
        <v>0</v>
      </c>
      <c r="V95" s="17">
        <v>0.00011350784632270722</v>
      </c>
      <c r="W95" s="17">
        <v>0.04905903334209208</v>
      </c>
      <c r="X95" s="18">
        <v>11.872286068786282</v>
      </c>
      <c r="Y95" s="18"/>
      <c r="Z95" s="19">
        <v>0</v>
      </c>
      <c r="AA95" s="4">
        <v>0</v>
      </c>
      <c r="AB95" s="4">
        <v>0</v>
      </c>
      <c r="AC95" s="4">
        <v>0</v>
      </c>
      <c r="AD95" s="4">
        <v>0</v>
      </c>
      <c r="AE95" s="4">
        <v>0</v>
      </c>
      <c r="AF95" s="4">
        <v>0</v>
      </c>
      <c r="AG95" s="4">
        <v>0</v>
      </c>
      <c r="AH95" s="19">
        <v>0.0022193695944453203</v>
      </c>
      <c r="AI95" s="17">
        <v>0</v>
      </c>
      <c r="AJ95" s="4">
        <v>0.000635779635045784</v>
      </c>
      <c r="AK95" s="4">
        <v>9.41179754109706E-08</v>
      </c>
      <c r="AL95" s="4">
        <v>0</v>
      </c>
      <c r="AM95" s="4">
        <v>0</v>
      </c>
      <c r="AN95" s="4">
        <v>0</v>
      </c>
      <c r="AO95" s="4">
        <v>1.4339028757160359E-07</v>
      </c>
      <c r="AP95" s="6">
        <v>0.002855386737754087</v>
      </c>
      <c r="AQ95">
        <v>1.2629917533691333</v>
      </c>
      <c r="AR95">
        <f t="shared" si="20"/>
        <v>0</v>
      </c>
      <c r="AS95">
        <f t="shared" si="21"/>
        <v>14.994599398516321</v>
      </c>
      <c r="AT95">
        <f t="shared" si="22"/>
        <v>0</v>
      </c>
      <c r="AU95">
        <f t="shared" si="23"/>
        <v>0</v>
      </c>
      <c r="AV95">
        <f t="shared" si="24"/>
        <v>1.2629917533691333</v>
      </c>
      <c r="AW95">
        <f t="shared" si="25"/>
        <v>1</v>
      </c>
      <c r="AX95" s="53">
        <f>100*(C94+C96+C98+C100+C102+C104+C106+C108)/C109</f>
        <v>22.31404958677686</v>
      </c>
      <c r="AY95" s="53">
        <f>100*(X94+X96+X98+X100+X102+X104+X106+X108)/X109</f>
        <v>23.56146004556702</v>
      </c>
      <c r="AZ95" s="53" t="s">
        <v>95</v>
      </c>
    </row>
    <row r="96" spans="2:52" ht="12.75">
      <c r="B96" s="16" t="s">
        <v>10</v>
      </c>
      <c r="C96">
        <v>4</v>
      </c>
      <c r="G96" s="19">
        <v>0</v>
      </c>
      <c r="H96" s="4">
        <v>0</v>
      </c>
      <c r="I96" s="4">
        <v>0</v>
      </c>
      <c r="J96" s="4">
        <v>0</v>
      </c>
      <c r="K96" s="4">
        <v>0</v>
      </c>
      <c r="L96" s="4">
        <v>0</v>
      </c>
      <c r="M96" s="4">
        <v>0</v>
      </c>
      <c r="N96" s="27">
        <v>0</v>
      </c>
      <c r="O96" s="4">
        <v>0.009495389787602688</v>
      </c>
      <c r="P96" s="4">
        <v>0</v>
      </c>
      <c r="Q96" s="4">
        <v>0.0010736405068939724</v>
      </c>
      <c r="R96" s="4">
        <v>1.5782205192025347E-05</v>
      </c>
      <c r="S96" s="4">
        <v>0</v>
      </c>
      <c r="T96" s="4">
        <v>0</v>
      </c>
      <c r="U96" s="4">
        <v>0</v>
      </c>
      <c r="V96" s="17">
        <v>0.000525621951907978</v>
      </c>
      <c r="W96" s="17">
        <v>0.011110434451596663</v>
      </c>
      <c r="X96" s="18">
        <v>2.6887251372863927</v>
      </c>
      <c r="Y96" s="18"/>
      <c r="Z96" s="19">
        <v>0</v>
      </c>
      <c r="AA96" s="4">
        <v>0</v>
      </c>
      <c r="AB96" s="4">
        <v>0</v>
      </c>
      <c r="AC96" s="4">
        <v>0</v>
      </c>
      <c r="AD96" s="4">
        <v>0</v>
      </c>
      <c r="AE96" s="4">
        <v>0</v>
      </c>
      <c r="AF96" s="4">
        <v>0</v>
      </c>
      <c r="AG96" s="4">
        <v>0</v>
      </c>
      <c r="AH96" s="19">
        <v>0.00010349858435501321</v>
      </c>
      <c r="AI96" s="17">
        <v>0</v>
      </c>
      <c r="AJ96" s="4">
        <v>2.964909150493761E-05</v>
      </c>
      <c r="AK96" s="4">
        <v>2.018216714939471E-06</v>
      </c>
      <c r="AL96" s="4">
        <v>0</v>
      </c>
      <c r="AM96" s="4">
        <v>0</v>
      </c>
      <c r="AN96" s="4">
        <v>0</v>
      </c>
      <c r="AO96" s="4">
        <v>3.0747864461952254E-06</v>
      </c>
      <c r="AP96" s="6">
        <v>0.00013824067902108548</v>
      </c>
      <c r="AQ96">
        <v>0.6395007588317277</v>
      </c>
      <c r="AR96">
        <f t="shared" si="20"/>
        <v>1</v>
      </c>
      <c r="AS96">
        <f t="shared" si="21"/>
        <v>1.7194417655845895</v>
      </c>
      <c r="AT96">
        <f t="shared" si="22"/>
        <v>2.6887251372863927</v>
      </c>
      <c r="AU96">
        <f t="shared" si="23"/>
        <v>4</v>
      </c>
      <c r="AV96">
        <f t="shared" si="24"/>
        <v>0</v>
      </c>
      <c r="AW96">
        <f t="shared" si="25"/>
        <v>0</v>
      </c>
      <c r="AX96" s="53">
        <f>100*(C101+C102+C103+C104+C105+C106+C107+C108)/C109</f>
        <v>78.51239669421487</v>
      </c>
      <c r="AY96" s="53">
        <f>100*(X101+X102+X103+X104+X105+X106+X107+X108)/X109</f>
        <v>77.32106042125865</v>
      </c>
      <c r="AZ96" s="53" t="s">
        <v>96</v>
      </c>
    </row>
    <row r="97" spans="2:49" ht="12.75">
      <c r="B97" s="3" t="s">
        <v>11</v>
      </c>
      <c r="C97">
        <v>0</v>
      </c>
      <c r="G97" s="19">
        <v>0</v>
      </c>
      <c r="H97" s="4">
        <v>0</v>
      </c>
      <c r="I97" s="4">
        <v>0</v>
      </c>
      <c r="J97" s="4">
        <v>0</v>
      </c>
      <c r="K97" s="4">
        <v>0</v>
      </c>
      <c r="L97" s="4">
        <v>0</v>
      </c>
      <c r="M97" s="4">
        <v>0</v>
      </c>
      <c r="N97" s="27">
        <v>0</v>
      </c>
      <c r="O97" s="4">
        <v>0.005096037889737145</v>
      </c>
      <c r="P97" s="4">
        <v>0</v>
      </c>
      <c r="Q97" s="4">
        <v>8.97670514019366E-05</v>
      </c>
      <c r="R97" s="4">
        <v>6.15361802799379E-08</v>
      </c>
      <c r="S97" s="4">
        <v>0</v>
      </c>
      <c r="T97" s="4">
        <v>0</v>
      </c>
      <c r="U97" s="4">
        <v>0</v>
      </c>
      <c r="V97" s="17">
        <v>0.000979385440665207</v>
      </c>
      <c r="W97" s="17">
        <v>0.006165251917984569</v>
      </c>
      <c r="X97" s="18">
        <v>1.4919909641522655</v>
      </c>
      <c r="Y97" s="18"/>
      <c r="Z97" s="19">
        <v>0</v>
      </c>
      <c r="AA97" s="4">
        <v>0</v>
      </c>
      <c r="AB97" s="4">
        <v>0</v>
      </c>
      <c r="AC97" s="4">
        <v>0</v>
      </c>
      <c r="AD97" s="4">
        <v>0</v>
      </c>
      <c r="AE97" s="4">
        <v>0</v>
      </c>
      <c r="AF97" s="4">
        <v>0</v>
      </c>
      <c r="AG97" s="4">
        <v>0</v>
      </c>
      <c r="AH97" s="19">
        <v>2.981083300608485E-05</v>
      </c>
      <c r="AI97" s="17">
        <v>0</v>
      </c>
      <c r="AJ97" s="4">
        <v>2.0726574590430114E-07</v>
      </c>
      <c r="AK97" s="4">
        <v>3.0682694602435196E-11</v>
      </c>
      <c r="AL97" s="4">
        <v>0</v>
      </c>
      <c r="AM97" s="4">
        <v>0</v>
      </c>
      <c r="AN97" s="4">
        <v>0</v>
      </c>
      <c r="AO97" s="4">
        <v>1.0675181210475767E-05</v>
      </c>
      <c r="AP97" s="6">
        <v>4.0693310645159523E-05</v>
      </c>
      <c r="AQ97">
        <v>1.4919909641522653</v>
      </c>
      <c r="AR97">
        <f t="shared" si="20"/>
        <v>1</v>
      </c>
      <c r="AS97">
        <f t="shared" si="21"/>
        <v>2.2260370371120066</v>
      </c>
      <c r="AT97">
        <f t="shared" si="22"/>
        <v>1.4919909641522655</v>
      </c>
      <c r="AU97">
        <f t="shared" si="23"/>
        <v>0</v>
      </c>
      <c r="AV97">
        <f t="shared" si="24"/>
        <v>0</v>
      </c>
      <c r="AW97">
        <f t="shared" si="25"/>
        <v>0</v>
      </c>
    </row>
    <row r="98" spans="1:50" ht="12.75">
      <c r="A98" s="15"/>
      <c r="B98" s="16" t="s">
        <v>12</v>
      </c>
      <c r="C98">
        <v>3</v>
      </c>
      <c r="G98" s="19">
        <v>0</v>
      </c>
      <c r="H98" s="17">
        <v>0</v>
      </c>
      <c r="I98" s="17">
        <v>0</v>
      </c>
      <c r="J98" s="17">
        <v>0</v>
      </c>
      <c r="K98" s="17">
        <v>0</v>
      </c>
      <c r="L98" s="17">
        <v>0</v>
      </c>
      <c r="M98" s="17">
        <v>0</v>
      </c>
      <c r="N98" s="27">
        <v>0</v>
      </c>
      <c r="O98" s="17">
        <v>0.001100487305644811</v>
      </c>
      <c r="P98" s="17">
        <v>0</v>
      </c>
      <c r="Q98" s="17">
        <v>1.9385158170025286E-05</v>
      </c>
      <c r="R98" s="17">
        <v>2.849562232001544E-07</v>
      </c>
      <c r="S98" s="17">
        <v>0</v>
      </c>
      <c r="T98" s="17">
        <v>0</v>
      </c>
      <c r="U98" s="17">
        <v>0</v>
      </c>
      <c r="V98" s="17">
        <v>0.004535250237495858</v>
      </c>
      <c r="W98" s="17">
        <v>0.005655407657533895</v>
      </c>
      <c r="X98" s="18">
        <v>1.3686086531232025</v>
      </c>
      <c r="Y98" s="18"/>
      <c r="Z98" s="19">
        <v>0</v>
      </c>
      <c r="AA98" s="4">
        <v>0</v>
      </c>
      <c r="AB98" s="4">
        <v>0</v>
      </c>
      <c r="AC98" s="17">
        <v>0</v>
      </c>
      <c r="AD98" s="17">
        <v>0</v>
      </c>
      <c r="AE98" s="17">
        <v>0</v>
      </c>
      <c r="AF98" s="17">
        <v>0</v>
      </c>
      <c r="AG98" s="17">
        <v>0</v>
      </c>
      <c r="AH98" s="19">
        <v>1.3902051385653058E-06</v>
      </c>
      <c r="AI98" s="17">
        <v>0</v>
      </c>
      <c r="AJ98" s="17">
        <v>9.665677740233433E-09</v>
      </c>
      <c r="AK98" s="17">
        <v>6.579436801059765E-10</v>
      </c>
      <c r="AL98" s="17">
        <v>0</v>
      </c>
      <c r="AM98" s="17">
        <v>0</v>
      </c>
      <c r="AN98" s="17">
        <v>0</v>
      </c>
      <c r="AO98" s="17">
        <v>0.00022891301114280724</v>
      </c>
      <c r="AP98" s="6">
        <v>0.00023031353990279289</v>
      </c>
      <c r="AQ98">
        <v>1.9446302057136768</v>
      </c>
      <c r="AR98">
        <f t="shared" si="20"/>
        <v>1</v>
      </c>
      <c r="AS98">
        <f t="shared" si="21"/>
        <v>2.6614377266644915</v>
      </c>
      <c r="AT98">
        <f t="shared" si="22"/>
        <v>1.3686086531232025</v>
      </c>
      <c r="AU98">
        <f t="shared" si="23"/>
        <v>3</v>
      </c>
      <c r="AV98">
        <f t="shared" si="24"/>
        <v>0</v>
      </c>
      <c r="AW98">
        <f t="shared" si="25"/>
        <v>0</v>
      </c>
      <c r="AX98" s="15"/>
    </row>
    <row r="99" spans="1:50" ht="12.75">
      <c r="A99" s="15"/>
      <c r="B99" s="16" t="s">
        <v>13</v>
      </c>
      <c r="C99">
        <v>3</v>
      </c>
      <c r="G99" s="19">
        <v>0</v>
      </c>
      <c r="H99" s="17">
        <v>0</v>
      </c>
      <c r="I99" s="17">
        <v>0</v>
      </c>
      <c r="J99" s="17">
        <v>0</v>
      </c>
      <c r="K99" s="17">
        <v>0</v>
      </c>
      <c r="L99" s="17">
        <v>0</v>
      </c>
      <c r="M99" s="17">
        <v>0</v>
      </c>
      <c r="N99" s="27">
        <v>0</v>
      </c>
      <c r="O99" s="17">
        <v>0.0020114153433130845</v>
      </c>
      <c r="P99" s="17">
        <v>0</v>
      </c>
      <c r="Q99" s="17">
        <v>0.00022743005153811534</v>
      </c>
      <c r="R99" s="17">
        <v>1.5590549576883072E-07</v>
      </c>
      <c r="S99" s="17">
        <v>0</v>
      </c>
      <c r="T99" s="17">
        <v>0</v>
      </c>
      <c r="U99" s="17">
        <v>0</v>
      </c>
      <c r="V99" s="17">
        <v>0.0024813300400035477</v>
      </c>
      <c r="W99" s="17">
        <v>0.004720331340350516</v>
      </c>
      <c r="X99" s="18">
        <v>1.142320184364825</v>
      </c>
      <c r="Y99" s="18"/>
      <c r="Z99" s="19">
        <v>0</v>
      </c>
      <c r="AA99" s="4">
        <v>0</v>
      </c>
      <c r="AB99" s="4">
        <v>0</v>
      </c>
      <c r="AC99" s="17">
        <v>0</v>
      </c>
      <c r="AD99" s="17">
        <v>0</v>
      </c>
      <c r="AE99" s="17">
        <v>0</v>
      </c>
      <c r="AF99" s="17">
        <v>0</v>
      </c>
      <c r="AG99" s="17">
        <v>0</v>
      </c>
      <c r="AH99" s="19">
        <v>4.644215165188643E-06</v>
      </c>
      <c r="AI99" s="17">
        <v>0</v>
      </c>
      <c r="AJ99" s="17">
        <v>1.3304216792857743E-06</v>
      </c>
      <c r="AK99" s="17">
        <v>1.969496787801698E-10</v>
      </c>
      <c r="AL99" s="17">
        <v>0</v>
      </c>
      <c r="AM99" s="17">
        <v>0</v>
      </c>
      <c r="AN99" s="17">
        <v>0</v>
      </c>
      <c r="AO99" s="17">
        <v>6.852310520851187E-05</v>
      </c>
      <c r="AP99" s="6">
        <v>7.449793900266507E-05</v>
      </c>
      <c r="AQ99">
        <v>3.0210219031866408</v>
      </c>
      <c r="AR99">
        <f t="shared" si="20"/>
        <v>1</v>
      </c>
      <c r="AS99">
        <f t="shared" si="21"/>
        <v>3.450974297418338</v>
      </c>
      <c r="AT99">
        <f t="shared" si="22"/>
        <v>1.142320184364825</v>
      </c>
      <c r="AU99">
        <f t="shared" si="23"/>
        <v>3</v>
      </c>
      <c r="AV99">
        <f t="shared" si="24"/>
        <v>0</v>
      </c>
      <c r="AW99">
        <f t="shared" si="25"/>
        <v>0</v>
      </c>
      <c r="AX99" s="15"/>
    </row>
    <row r="100" spans="1:50" ht="13.5" thickBot="1">
      <c r="A100" s="11" t="s">
        <v>4</v>
      </c>
      <c r="B100" s="12" t="s">
        <v>14</v>
      </c>
      <c r="C100">
        <v>2</v>
      </c>
      <c r="G100" s="20">
        <v>0</v>
      </c>
      <c r="H100" s="13">
        <v>0</v>
      </c>
      <c r="I100" s="13">
        <v>0</v>
      </c>
      <c r="J100" s="13">
        <v>0</v>
      </c>
      <c r="K100" s="13">
        <v>0</v>
      </c>
      <c r="L100" s="13">
        <v>0</v>
      </c>
      <c r="M100" s="13">
        <v>0</v>
      </c>
      <c r="N100" s="28">
        <v>0</v>
      </c>
      <c r="O100" s="13">
        <v>0.0004343643237333589</v>
      </c>
      <c r="P100" s="13">
        <v>0</v>
      </c>
      <c r="Q100" s="13">
        <v>4.911342695153131E-05</v>
      </c>
      <c r="R100" s="13">
        <v>7.219531834496648E-07</v>
      </c>
      <c r="S100" s="13">
        <v>0</v>
      </c>
      <c r="T100" s="13">
        <v>0</v>
      </c>
      <c r="U100" s="13">
        <v>0</v>
      </c>
      <c r="V100" s="13">
        <v>0.01149032054794306</v>
      </c>
      <c r="W100" s="13">
        <v>0.0119745202518114</v>
      </c>
      <c r="X100" s="14">
        <v>2.897833900938359</v>
      </c>
      <c r="Y100" s="14"/>
      <c r="Z100" s="20">
        <v>0</v>
      </c>
      <c r="AA100" s="13">
        <v>0</v>
      </c>
      <c r="AB100" s="13">
        <v>0</v>
      </c>
      <c r="AC100" s="13">
        <v>0</v>
      </c>
      <c r="AD100" s="13">
        <v>0</v>
      </c>
      <c r="AE100" s="13">
        <v>0</v>
      </c>
      <c r="AF100" s="13">
        <v>0</v>
      </c>
      <c r="AG100" s="13">
        <v>0</v>
      </c>
      <c r="AH100" s="20">
        <v>2.1657938192905647E-07</v>
      </c>
      <c r="AI100" s="13">
        <v>0</v>
      </c>
      <c r="AJ100" s="13">
        <v>6.20431859325851E-08</v>
      </c>
      <c r="AK100" s="13">
        <v>4.2232860617799306E-09</v>
      </c>
      <c r="AL100" s="13">
        <v>0</v>
      </c>
      <c r="AM100" s="13">
        <v>0</v>
      </c>
      <c r="AN100" s="13">
        <v>0</v>
      </c>
      <c r="AO100" s="13">
        <v>0.0014693736843308118</v>
      </c>
      <c r="AP100" s="6">
        <v>0.0014696565301847353</v>
      </c>
      <c r="AQ100">
        <v>0.2781752651223946</v>
      </c>
      <c r="AR100">
        <f t="shared" si="20"/>
        <v>1</v>
      </c>
      <c r="AS100">
        <f t="shared" si="21"/>
        <v>0.8061057136741909</v>
      </c>
      <c r="AT100">
        <f t="shared" si="22"/>
        <v>2.897833900938359</v>
      </c>
      <c r="AU100">
        <f t="shared" si="23"/>
        <v>2</v>
      </c>
      <c r="AV100">
        <f t="shared" si="24"/>
        <v>0</v>
      </c>
      <c r="AW100">
        <f t="shared" si="25"/>
        <v>0</v>
      </c>
      <c r="AX100" s="11"/>
    </row>
    <row r="101" spans="2:49" ht="12.75">
      <c r="B101" s="3" t="s">
        <v>7</v>
      </c>
      <c r="C101">
        <v>99</v>
      </c>
      <c r="G101" s="19">
        <v>0</v>
      </c>
      <c r="H101" s="4">
        <v>0</v>
      </c>
      <c r="I101" s="4">
        <v>0</v>
      </c>
      <c r="J101" s="4">
        <v>0</v>
      </c>
      <c r="K101" s="4">
        <v>0</v>
      </c>
      <c r="L101" s="4">
        <v>0</v>
      </c>
      <c r="M101" s="4">
        <v>0</v>
      </c>
      <c r="N101" s="27">
        <v>0</v>
      </c>
      <c r="O101" s="4">
        <v>0.37980996560945957</v>
      </c>
      <c r="P101" s="4">
        <v>0</v>
      </c>
      <c r="Q101" s="4">
        <v>0.006690378180761667</v>
      </c>
      <c r="R101" s="4">
        <v>4.586318826814346E-06</v>
      </c>
      <c r="S101" s="4">
        <v>0</v>
      </c>
      <c r="T101" s="4">
        <v>0</v>
      </c>
      <c r="U101" s="4">
        <v>0</v>
      </c>
      <c r="V101" s="17">
        <v>0.00015274607220545843</v>
      </c>
      <c r="W101" s="17">
        <v>0.3866576761812535</v>
      </c>
      <c r="X101" s="18">
        <v>93.57115763586336</v>
      </c>
      <c r="Y101" s="18"/>
      <c r="Z101" s="19">
        <v>0</v>
      </c>
      <c r="AA101" s="4">
        <v>0</v>
      </c>
      <c r="AB101" s="19">
        <v>0</v>
      </c>
      <c r="AC101" s="4">
        <v>0</v>
      </c>
      <c r="AD101" s="4">
        <v>0</v>
      </c>
      <c r="AE101" s="4">
        <v>0</v>
      </c>
      <c r="AF101" s="4">
        <v>0</v>
      </c>
      <c r="AG101" s="4">
        <v>0</v>
      </c>
      <c r="AH101" s="19">
        <v>0.16559282927940835</v>
      </c>
      <c r="AI101" s="17">
        <v>0</v>
      </c>
      <c r="AJ101" s="4">
        <v>0.0011513170822832954</v>
      </c>
      <c r="AK101" s="4">
        <v>1.7043583478852133E-07</v>
      </c>
      <c r="AL101" s="4">
        <v>0</v>
      </c>
      <c r="AM101" s="4">
        <v>0</v>
      </c>
      <c r="AN101" s="4">
        <v>0</v>
      </c>
      <c r="AO101" s="4">
        <v>2.5966180483716344E-07</v>
      </c>
      <c r="AP101" s="6">
        <v>0.16674457645933127</v>
      </c>
      <c r="AQ101">
        <v>0.3149723713939471</v>
      </c>
      <c r="AR101">
        <f t="shared" si="20"/>
        <v>0</v>
      </c>
      <c r="AS101">
        <f t="shared" si="21"/>
        <v>29.472329414644726</v>
      </c>
      <c r="AT101">
        <f t="shared" si="22"/>
        <v>0</v>
      </c>
      <c r="AU101">
        <f t="shared" si="23"/>
        <v>0</v>
      </c>
      <c r="AV101">
        <f t="shared" si="24"/>
        <v>0.3149723713939471</v>
      </c>
      <c r="AW101">
        <f t="shared" si="25"/>
        <v>1</v>
      </c>
    </row>
    <row r="102" spans="2:49" ht="12.75">
      <c r="B102" s="3" t="s">
        <v>15</v>
      </c>
      <c r="C102">
        <v>21</v>
      </c>
      <c r="G102" s="19">
        <v>0</v>
      </c>
      <c r="H102" s="4">
        <v>0</v>
      </c>
      <c r="I102" s="4">
        <v>0</v>
      </c>
      <c r="J102" s="4">
        <v>0</v>
      </c>
      <c r="K102" s="4">
        <v>0</v>
      </c>
      <c r="L102" s="4">
        <v>0</v>
      </c>
      <c r="M102" s="4">
        <v>0</v>
      </c>
      <c r="N102" s="27">
        <v>0</v>
      </c>
      <c r="O102" s="4">
        <v>0.08201980730016938</v>
      </c>
      <c r="P102" s="4">
        <v>0</v>
      </c>
      <c r="Q102" s="4">
        <v>0.0014447844417952332</v>
      </c>
      <c r="R102" s="4">
        <v>2.1237913782355064E-05</v>
      </c>
      <c r="S102" s="4">
        <v>0</v>
      </c>
      <c r="T102" s="4">
        <v>0</v>
      </c>
      <c r="U102" s="4">
        <v>0</v>
      </c>
      <c r="V102" s="17">
        <v>0.0007073228082458002</v>
      </c>
      <c r="W102" s="17">
        <v>0.08419315246399275</v>
      </c>
      <c r="X102" s="18">
        <v>20.374742896286246</v>
      </c>
      <c r="Y102" s="18"/>
      <c r="Z102" s="19">
        <v>0</v>
      </c>
      <c r="AA102" s="4">
        <v>0</v>
      </c>
      <c r="AB102" s="19">
        <v>0</v>
      </c>
      <c r="AC102" s="4">
        <v>0</v>
      </c>
      <c r="AD102" s="4">
        <v>0</v>
      </c>
      <c r="AE102" s="4">
        <v>0</v>
      </c>
      <c r="AF102" s="4">
        <v>0</v>
      </c>
      <c r="AG102" s="4">
        <v>0</v>
      </c>
      <c r="AH102" s="19">
        <v>0.007722293507424364</v>
      </c>
      <c r="AI102" s="17">
        <v>0</v>
      </c>
      <c r="AJ102" s="4">
        <v>5.3690781588745035E-05</v>
      </c>
      <c r="AK102" s="4">
        <v>3.654737037137343E-06</v>
      </c>
      <c r="AL102" s="4">
        <v>0</v>
      </c>
      <c r="AM102" s="4">
        <v>0</v>
      </c>
      <c r="AN102" s="4">
        <v>0</v>
      </c>
      <c r="AO102" s="4">
        <v>5.568052143763275E-06</v>
      </c>
      <c r="AP102" s="6">
        <v>0.00778520707819401</v>
      </c>
      <c r="AQ102">
        <v>0.019187797742261096</v>
      </c>
      <c r="AR102">
        <f t="shared" si="20"/>
        <v>0</v>
      </c>
      <c r="AS102">
        <f t="shared" si="21"/>
        <v>0.39094644574451154</v>
      </c>
      <c r="AT102">
        <f t="shared" si="22"/>
        <v>0</v>
      </c>
      <c r="AU102">
        <f t="shared" si="23"/>
        <v>0</v>
      </c>
      <c r="AV102">
        <f t="shared" si="24"/>
        <v>0.019187797742261096</v>
      </c>
      <c r="AW102">
        <f t="shared" si="25"/>
        <v>1</v>
      </c>
    </row>
    <row r="103" spans="2:49" ht="12.75">
      <c r="B103" s="3" t="s">
        <v>16</v>
      </c>
      <c r="C103">
        <v>44</v>
      </c>
      <c r="G103" s="19">
        <v>0</v>
      </c>
      <c r="H103" s="4">
        <v>0</v>
      </c>
      <c r="I103" s="4">
        <v>0</v>
      </c>
      <c r="J103" s="4">
        <v>0</v>
      </c>
      <c r="K103" s="4">
        <v>0</v>
      </c>
      <c r="L103" s="4">
        <v>0</v>
      </c>
      <c r="M103" s="4">
        <v>0</v>
      </c>
      <c r="N103" s="27">
        <v>0</v>
      </c>
      <c r="O103" s="4">
        <v>0.14991167822919915</v>
      </c>
      <c r="P103" s="4">
        <v>0</v>
      </c>
      <c r="Q103" s="4">
        <v>0.01695046267752627</v>
      </c>
      <c r="R103" s="4">
        <v>1.1619705792521027E-05</v>
      </c>
      <c r="S103" s="4">
        <v>0</v>
      </c>
      <c r="T103" s="4">
        <v>0</v>
      </c>
      <c r="U103" s="4">
        <v>0</v>
      </c>
      <c r="V103" s="17">
        <v>0.00038699106778484034</v>
      </c>
      <c r="W103" s="17">
        <v>0.16726075168030277</v>
      </c>
      <c r="X103" s="18">
        <v>40.47710190663327</v>
      </c>
      <c r="Y103" s="18"/>
      <c r="Z103" s="19">
        <v>0</v>
      </c>
      <c r="AA103" s="4">
        <v>0</v>
      </c>
      <c r="AB103" s="19">
        <v>0</v>
      </c>
      <c r="AC103" s="4">
        <v>0</v>
      </c>
      <c r="AD103" s="4">
        <v>0</v>
      </c>
      <c r="AE103" s="4">
        <v>0</v>
      </c>
      <c r="AF103" s="4">
        <v>0</v>
      </c>
      <c r="AG103" s="4">
        <v>0</v>
      </c>
      <c r="AH103" s="19">
        <v>0.025797626279981768</v>
      </c>
      <c r="AI103" s="17">
        <v>0</v>
      </c>
      <c r="AJ103" s="4">
        <v>0.007390209121718429</v>
      </c>
      <c r="AK103" s="4">
        <v>1.094013526164199E-06</v>
      </c>
      <c r="AL103" s="4">
        <v>0</v>
      </c>
      <c r="AM103" s="4">
        <v>0</v>
      </c>
      <c r="AN103" s="4">
        <v>0</v>
      </c>
      <c r="AO103" s="4">
        <v>1.666747647714735E-06</v>
      </c>
      <c r="AP103" s="6">
        <v>0.03319059616287408</v>
      </c>
      <c r="AQ103">
        <v>0.30661313166328924</v>
      </c>
      <c r="AR103">
        <f t="shared" si="20"/>
        <v>0</v>
      </c>
      <c r="AS103">
        <f t="shared" si="21"/>
        <v>12.410810976246923</v>
      </c>
      <c r="AT103">
        <f t="shared" si="22"/>
        <v>0</v>
      </c>
      <c r="AU103">
        <f t="shared" si="23"/>
        <v>0</v>
      </c>
      <c r="AV103">
        <f t="shared" si="24"/>
        <v>0.30661313166328924</v>
      </c>
      <c r="AW103">
        <f t="shared" si="25"/>
        <v>1</v>
      </c>
    </row>
    <row r="104" spans="2:49" ht="12.75">
      <c r="B104" s="3" t="s">
        <v>17</v>
      </c>
      <c r="C104">
        <v>8</v>
      </c>
      <c r="G104" s="19">
        <v>0</v>
      </c>
      <c r="H104" s="4">
        <v>0</v>
      </c>
      <c r="I104" s="4">
        <v>0</v>
      </c>
      <c r="J104" s="4">
        <v>0</v>
      </c>
      <c r="K104" s="4">
        <v>0</v>
      </c>
      <c r="L104" s="4">
        <v>0</v>
      </c>
      <c r="M104" s="4">
        <v>0</v>
      </c>
      <c r="N104" s="27">
        <v>0</v>
      </c>
      <c r="O104" s="4">
        <v>0.03237336582433706</v>
      </c>
      <c r="P104" s="4">
        <v>0</v>
      </c>
      <c r="Q104" s="4">
        <v>0.003660445507870032</v>
      </c>
      <c r="R104" s="4">
        <v>5.3807491174638934E-05</v>
      </c>
      <c r="S104" s="4">
        <v>0</v>
      </c>
      <c r="T104" s="4">
        <v>0</v>
      </c>
      <c r="U104" s="4">
        <v>0</v>
      </c>
      <c r="V104" s="17">
        <v>0.0017920435195441472</v>
      </c>
      <c r="W104" s="17">
        <v>0.03787966234292587</v>
      </c>
      <c r="X104" s="18">
        <v>9.16687828698806</v>
      </c>
      <c r="Y104" s="18"/>
      <c r="Z104" s="19">
        <v>0</v>
      </c>
      <c r="AA104" s="4">
        <v>0</v>
      </c>
      <c r="AB104" s="19">
        <v>0</v>
      </c>
      <c r="AC104" s="4">
        <v>0</v>
      </c>
      <c r="AD104" s="4">
        <v>0</v>
      </c>
      <c r="AE104" s="4">
        <v>0</v>
      </c>
      <c r="AF104" s="4">
        <v>0</v>
      </c>
      <c r="AG104" s="4">
        <v>0</v>
      </c>
      <c r="AH104" s="19">
        <v>0.0012030523471081014</v>
      </c>
      <c r="AI104" s="17">
        <v>0</v>
      </c>
      <c r="AJ104" s="4">
        <v>0.0003446366860660383</v>
      </c>
      <c r="AK104" s="4">
        <v>2.34594547453163E-05</v>
      </c>
      <c r="AL104" s="4">
        <v>0</v>
      </c>
      <c r="AM104" s="4">
        <v>0</v>
      </c>
      <c r="AN104" s="4">
        <v>0</v>
      </c>
      <c r="AO104" s="4">
        <v>3.574086615777145E-05</v>
      </c>
      <c r="AP104" s="6">
        <v>0.0016068893540772274</v>
      </c>
      <c r="AQ104">
        <v>0.14853529129724813</v>
      </c>
      <c r="AR104">
        <f t="shared" si="20"/>
        <v>0</v>
      </c>
      <c r="AS104">
        <f t="shared" si="21"/>
        <v>1.3616049366441905</v>
      </c>
      <c r="AT104">
        <f t="shared" si="22"/>
        <v>0</v>
      </c>
      <c r="AU104">
        <f t="shared" si="23"/>
        <v>0</v>
      </c>
      <c r="AV104">
        <f t="shared" si="24"/>
        <v>0.14853529129724813</v>
      </c>
      <c r="AW104">
        <f t="shared" si="25"/>
        <v>1</v>
      </c>
    </row>
    <row r="105" spans="2:49" ht="12.75">
      <c r="B105" s="3" t="s">
        <v>18</v>
      </c>
      <c r="C105">
        <v>5</v>
      </c>
      <c r="G105" s="19">
        <v>0</v>
      </c>
      <c r="H105" s="4">
        <v>0</v>
      </c>
      <c r="I105" s="4">
        <v>0</v>
      </c>
      <c r="J105" s="4">
        <v>0</v>
      </c>
      <c r="K105" s="4">
        <v>0</v>
      </c>
      <c r="L105" s="4">
        <v>0</v>
      </c>
      <c r="M105" s="4">
        <v>0</v>
      </c>
      <c r="N105" s="27">
        <v>0</v>
      </c>
      <c r="O105" s="4">
        <v>0.017374315594135804</v>
      </c>
      <c r="P105" s="4">
        <v>0</v>
      </c>
      <c r="Q105" s="4">
        <v>0.0003060497419285679</v>
      </c>
      <c r="R105" s="4">
        <v>2.0980005246711857E-07</v>
      </c>
      <c r="S105" s="4">
        <v>0</v>
      </c>
      <c r="T105" s="4">
        <v>0</v>
      </c>
      <c r="U105" s="4">
        <v>0</v>
      </c>
      <c r="V105" s="17">
        <v>0.0033390944303392472</v>
      </c>
      <c r="W105" s="17">
        <v>0.021019669566456085</v>
      </c>
      <c r="X105" s="18">
        <v>5.0867600350823725</v>
      </c>
      <c r="Y105" s="18"/>
      <c r="Z105" s="19">
        <v>0</v>
      </c>
      <c r="AA105" s="4">
        <v>0</v>
      </c>
      <c r="AB105" s="19">
        <v>0</v>
      </c>
      <c r="AC105" s="4">
        <v>0</v>
      </c>
      <c r="AD105" s="4">
        <v>0</v>
      </c>
      <c r="AE105" s="4">
        <v>0</v>
      </c>
      <c r="AF105" s="4">
        <v>0</v>
      </c>
      <c r="AG105" s="4">
        <v>0</v>
      </c>
      <c r="AH105" s="19">
        <v>0.0003465167455257168</v>
      </c>
      <c r="AI105" s="17">
        <v>0</v>
      </c>
      <c r="AJ105" s="4">
        <v>2.4092265960853497E-06</v>
      </c>
      <c r="AK105" s="4">
        <v>3.56651136700043E-10</v>
      </c>
      <c r="AL105" s="4">
        <v>0</v>
      </c>
      <c r="AM105" s="4">
        <v>0</v>
      </c>
      <c r="AN105" s="4">
        <v>0</v>
      </c>
      <c r="AO105" s="4">
        <v>0.00012408673887765215</v>
      </c>
      <c r="AP105" s="6">
        <v>0.00047301306765059096</v>
      </c>
      <c r="AQ105">
        <v>0.0014797835234176947</v>
      </c>
      <c r="AR105">
        <f t="shared" si="20"/>
        <v>0</v>
      </c>
      <c r="AS105">
        <f t="shared" si="21"/>
        <v>0.007527303687494509</v>
      </c>
      <c r="AT105">
        <f t="shared" si="22"/>
        <v>0</v>
      </c>
      <c r="AU105">
        <f t="shared" si="23"/>
        <v>0</v>
      </c>
      <c r="AV105">
        <f t="shared" si="24"/>
        <v>0.0014797835234176947</v>
      </c>
      <c r="AW105">
        <f t="shared" si="25"/>
        <v>1</v>
      </c>
    </row>
    <row r="106" spans="2:49" ht="12.75">
      <c r="B106" s="16" t="s">
        <v>19</v>
      </c>
      <c r="C106">
        <v>1</v>
      </c>
      <c r="G106" s="19">
        <v>0</v>
      </c>
      <c r="H106" s="4">
        <v>0</v>
      </c>
      <c r="I106" s="4">
        <v>0</v>
      </c>
      <c r="J106" s="4">
        <v>0</v>
      </c>
      <c r="K106" s="4">
        <v>0</v>
      </c>
      <c r="L106" s="4">
        <v>0</v>
      </c>
      <c r="M106" s="4">
        <v>0</v>
      </c>
      <c r="N106" s="27">
        <v>0</v>
      </c>
      <c r="O106" s="4">
        <v>0.003751976372491091</v>
      </c>
      <c r="P106" s="4">
        <v>0</v>
      </c>
      <c r="Q106" s="4">
        <v>6.60913170536948E-05</v>
      </c>
      <c r="R106" s="4">
        <v>9.715232617016227E-07</v>
      </c>
      <c r="S106" s="4">
        <v>0</v>
      </c>
      <c r="T106" s="4">
        <v>0</v>
      </c>
      <c r="U106" s="4">
        <v>0</v>
      </c>
      <c r="V106" s="17">
        <v>0.015462378936255664</v>
      </c>
      <c r="W106" s="17">
        <v>0.019281418149062153</v>
      </c>
      <c r="X106" s="18">
        <v>4.666103192073041</v>
      </c>
      <c r="Y106" s="18"/>
      <c r="Z106" s="19">
        <v>0</v>
      </c>
      <c r="AA106" s="4">
        <v>0</v>
      </c>
      <c r="AB106" s="19">
        <v>0</v>
      </c>
      <c r="AC106" s="4">
        <v>0</v>
      </c>
      <c r="AD106" s="4">
        <v>0</v>
      </c>
      <c r="AE106" s="4">
        <v>0</v>
      </c>
      <c r="AF106" s="4">
        <v>0</v>
      </c>
      <c r="AG106" s="4">
        <v>0</v>
      </c>
      <c r="AH106" s="19">
        <v>1.615954039695736E-05</v>
      </c>
      <c r="AI106" s="17">
        <v>0</v>
      </c>
      <c r="AJ106" s="4">
        <v>1.1235241877214254E-07</v>
      </c>
      <c r="AK106" s="4">
        <v>7.64784072699345E-09</v>
      </c>
      <c r="AL106" s="4">
        <v>0</v>
      </c>
      <c r="AM106" s="4">
        <v>0</v>
      </c>
      <c r="AN106" s="4">
        <v>0</v>
      </c>
      <c r="AO106" s="4">
        <v>0.0026608512285955527</v>
      </c>
      <c r="AP106" s="6">
        <v>0.002677130769252009</v>
      </c>
      <c r="AQ106">
        <v>2.880414783316638</v>
      </c>
      <c r="AR106">
        <f t="shared" si="20"/>
        <v>0</v>
      </c>
      <c r="AS106">
        <f t="shared" si="21"/>
        <v>13.44031261492814</v>
      </c>
      <c r="AT106">
        <f t="shared" si="22"/>
        <v>0</v>
      </c>
      <c r="AU106">
        <f t="shared" si="23"/>
        <v>0</v>
      </c>
      <c r="AV106">
        <f t="shared" si="24"/>
        <v>2.880414783316638</v>
      </c>
      <c r="AW106">
        <f t="shared" si="25"/>
        <v>1</v>
      </c>
    </row>
    <row r="107" spans="2:49" ht="12.75">
      <c r="B107" s="16" t="s">
        <v>20</v>
      </c>
      <c r="C107">
        <v>2</v>
      </c>
      <c r="G107" s="19">
        <v>0</v>
      </c>
      <c r="H107" s="4">
        <v>0</v>
      </c>
      <c r="I107" s="4">
        <v>0</v>
      </c>
      <c r="J107" s="4">
        <v>0</v>
      </c>
      <c r="K107" s="4">
        <v>0</v>
      </c>
      <c r="L107" s="4">
        <v>0</v>
      </c>
      <c r="M107" s="4">
        <v>0</v>
      </c>
      <c r="N107" s="27">
        <v>0</v>
      </c>
      <c r="O107" s="4">
        <v>0.006857673691160706</v>
      </c>
      <c r="P107" s="4">
        <v>0</v>
      </c>
      <c r="Q107" s="4">
        <v>0.0007753948413475401</v>
      </c>
      <c r="R107" s="4">
        <v>5.315406488250398E-07</v>
      </c>
      <c r="S107" s="4">
        <v>0</v>
      </c>
      <c r="T107" s="4">
        <v>0</v>
      </c>
      <c r="U107" s="4">
        <v>0</v>
      </c>
      <c r="V107" s="17">
        <v>0.008459790162677725</v>
      </c>
      <c r="W107" s="17">
        <v>0.016093390235834795</v>
      </c>
      <c r="X107" s="18">
        <v>3.8946004370720204</v>
      </c>
      <c r="Y107" s="18"/>
      <c r="Z107" s="19">
        <v>0</v>
      </c>
      <c r="AA107" s="4">
        <v>0</v>
      </c>
      <c r="AB107" s="19">
        <v>0</v>
      </c>
      <c r="AC107" s="4">
        <v>0</v>
      </c>
      <c r="AD107" s="4">
        <v>0</v>
      </c>
      <c r="AE107" s="4">
        <v>0</v>
      </c>
      <c r="AF107" s="4">
        <v>0</v>
      </c>
      <c r="AG107" s="4">
        <v>0</v>
      </c>
      <c r="AH107" s="19">
        <v>5.3983675136949894E-05</v>
      </c>
      <c r="AI107" s="17">
        <v>0</v>
      </c>
      <c r="AJ107" s="4">
        <v>1.5464626244723372E-05</v>
      </c>
      <c r="AK107" s="4">
        <v>2.289314146616085E-09</v>
      </c>
      <c r="AL107" s="4">
        <v>0</v>
      </c>
      <c r="AM107" s="4">
        <v>0</v>
      </c>
      <c r="AN107" s="4">
        <v>0</v>
      </c>
      <c r="AO107" s="4">
        <v>0.0007965025132079746</v>
      </c>
      <c r="AP107" s="6">
        <v>0.0008659531039037946</v>
      </c>
      <c r="AQ107">
        <v>0.9216634348380299</v>
      </c>
      <c r="AR107">
        <f t="shared" si="20"/>
        <v>1</v>
      </c>
      <c r="AS107">
        <f t="shared" si="21"/>
        <v>3.5895108161534908</v>
      </c>
      <c r="AT107">
        <f t="shared" si="22"/>
        <v>3.8946004370720204</v>
      </c>
      <c r="AU107">
        <f t="shared" si="23"/>
        <v>2</v>
      </c>
      <c r="AV107">
        <f t="shared" si="24"/>
        <v>0</v>
      </c>
      <c r="AW107">
        <f t="shared" si="25"/>
        <v>0</v>
      </c>
    </row>
    <row r="108" spans="2:49" ht="13.5" thickBot="1">
      <c r="B108" s="12" t="s">
        <v>21</v>
      </c>
      <c r="C108">
        <v>10</v>
      </c>
      <c r="G108" s="19">
        <v>0</v>
      </c>
      <c r="H108" s="4">
        <v>0</v>
      </c>
      <c r="I108" s="4">
        <v>0</v>
      </c>
      <c r="J108" s="4">
        <v>0</v>
      </c>
      <c r="K108" s="4">
        <v>0</v>
      </c>
      <c r="L108" s="4">
        <v>0</v>
      </c>
      <c r="M108" s="4">
        <v>0</v>
      </c>
      <c r="N108" s="27">
        <v>0</v>
      </c>
      <c r="O108" s="4">
        <v>0.0014809118390927065</v>
      </c>
      <c r="P108" s="4">
        <v>0</v>
      </c>
      <c r="Q108" s="4">
        <v>0.0001674462000143123</v>
      </c>
      <c r="R108" s="4">
        <v>2.461410751813011E-06</v>
      </c>
      <c r="S108" s="4">
        <v>0</v>
      </c>
      <c r="T108" s="4">
        <v>0</v>
      </c>
      <c r="U108" s="4">
        <v>0</v>
      </c>
      <c r="V108" s="17">
        <v>0.03917483735350395</v>
      </c>
      <c r="W108" s="17">
        <v>0.04082565680336278</v>
      </c>
      <c r="X108" s="18">
        <v>9.879808946413792</v>
      </c>
      <c r="Y108" s="18"/>
      <c r="Z108" s="19">
        <v>0</v>
      </c>
      <c r="AA108" s="4">
        <v>0</v>
      </c>
      <c r="AB108" s="19">
        <v>0</v>
      </c>
      <c r="AC108" s="4">
        <v>0</v>
      </c>
      <c r="AD108" s="4">
        <v>0</v>
      </c>
      <c r="AE108" s="4">
        <v>0</v>
      </c>
      <c r="AF108" s="4">
        <v>0</v>
      </c>
      <c r="AG108" s="4">
        <v>0</v>
      </c>
      <c r="AH108" s="19">
        <v>2.5174869336495688E-06</v>
      </c>
      <c r="AI108" s="17">
        <v>0</v>
      </c>
      <c r="AJ108" s="4">
        <v>7.211808830373188E-07</v>
      </c>
      <c r="AK108" s="4">
        <v>4.90908570469464E-08</v>
      </c>
      <c r="AL108" s="4">
        <v>0</v>
      </c>
      <c r="AM108" s="4">
        <v>0</v>
      </c>
      <c r="AN108" s="4">
        <v>0</v>
      </c>
      <c r="AO108" s="4">
        <v>0.017079783948053946</v>
      </c>
      <c r="AP108" s="6">
        <v>0.017083071706727678</v>
      </c>
      <c r="AQ108">
        <v>0.0014621628252645769</v>
      </c>
      <c r="AR108">
        <f t="shared" si="20"/>
        <v>0</v>
      </c>
      <c r="AS108">
        <f t="shared" si="21"/>
        <v>0.014445889362162633</v>
      </c>
      <c r="AT108">
        <f t="shared" si="22"/>
        <v>0</v>
      </c>
      <c r="AU108">
        <f t="shared" si="23"/>
        <v>0</v>
      </c>
      <c r="AV108">
        <f t="shared" si="24"/>
        <v>0.0014621628252645769</v>
      </c>
      <c r="AW108">
        <f t="shared" si="25"/>
        <v>1</v>
      </c>
    </row>
    <row r="109" spans="3:50" ht="12.75">
      <c r="C109" s="2">
        <v>242</v>
      </c>
      <c r="D109" s="2">
        <v>0</v>
      </c>
      <c r="E109" s="2">
        <v>0</v>
      </c>
      <c r="F109" s="2">
        <v>0</v>
      </c>
      <c r="G109" s="33">
        <v>0</v>
      </c>
      <c r="H109" s="2">
        <v>0</v>
      </c>
      <c r="I109" s="2">
        <v>0</v>
      </c>
      <c r="J109" s="2">
        <v>0</v>
      </c>
      <c r="K109" s="2">
        <v>0</v>
      </c>
      <c r="L109" s="2">
        <v>0</v>
      </c>
      <c r="M109" s="2">
        <v>0</v>
      </c>
      <c r="N109" s="29">
        <v>0</v>
      </c>
      <c r="O109" s="2">
        <v>0.8711464778034154</v>
      </c>
      <c r="P109" s="2">
        <v>0</v>
      </c>
      <c r="Q109" s="2">
        <v>0.03887822120457148</v>
      </c>
      <c r="R109" s="2">
        <v>0.00012341489339546074</v>
      </c>
      <c r="S109" s="2">
        <v>0</v>
      </c>
      <c r="T109" s="2">
        <v>0</v>
      </c>
      <c r="U109" s="2">
        <v>0</v>
      </c>
      <c r="V109" s="32">
        <v>0.08985288609861761</v>
      </c>
      <c r="W109" s="32">
        <v>1.0000009999999997</v>
      </c>
      <c r="X109" s="32">
        <v>242.000242</v>
      </c>
      <c r="Y109" s="32"/>
      <c r="Z109" s="33">
        <v>0</v>
      </c>
      <c r="AA109" s="2">
        <v>0</v>
      </c>
      <c r="AB109" s="2">
        <v>0</v>
      </c>
      <c r="AC109" s="2">
        <v>0</v>
      </c>
      <c r="AD109" s="2">
        <v>0</v>
      </c>
      <c r="AE109" s="2">
        <v>0</v>
      </c>
      <c r="AF109" s="2">
        <v>0</v>
      </c>
      <c r="AG109" s="2">
        <v>0</v>
      </c>
      <c r="AH109" s="2">
        <v>0.21800420758058522</v>
      </c>
      <c r="AI109" s="2">
        <v>0</v>
      </c>
      <c r="AJ109" s="2">
        <v>0.009729265998086187</v>
      </c>
      <c r="AK109" s="2">
        <v>3.088454895227304E-05</v>
      </c>
      <c r="AL109" s="2">
        <v>0</v>
      </c>
      <c r="AM109" s="2">
        <v>0</v>
      </c>
      <c r="AN109" s="2">
        <v>0</v>
      </c>
      <c r="AO109" s="2">
        <v>0.022485664273302664</v>
      </c>
      <c r="AP109" s="2">
        <v>0.2502500224009264</v>
      </c>
      <c r="AQ109" s="36">
        <v>13.399289550002814</v>
      </c>
      <c r="AR109" s="36">
        <f>SUM(AR93:AR108)</f>
        <v>6</v>
      </c>
      <c r="AT109">
        <f>SUM(AT93:AT108)</f>
        <v>13.484079276937065</v>
      </c>
      <c r="AU109">
        <f>SUM(AU93:AU108)</f>
        <v>14</v>
      </c>
      <c r="AV109" s="36">
        <f>SUM(AV93:AV108)</f>
        <v>5.102307018158079</v>
      </c>
      <c r="AW109" s="36">
        <f>SUM(AW93:AW108)</f>
        <v>10</v>
      </c>
      <c r="AX109" t="s">
        <v>64</v>
      </c>
    </row>
    <row r="110" spans="13:48" ht="12.75">
      <c r="M110" s="15"/>
      <c r="N110" s="15"/>
      <c r="AQ110" t="s">
        <v>38</v>
      </c>
      <c r="AU110" s="36">
        <f>POWER(AT109-AU109,2)/AT109</f>
        <v>0.019739886351828384</v>
      </c>
      <c r="AV110" s="41">
        <f>AV109+AU110</f>
        <v>5.122046904509908</v>
      </c>
    </row>
    <row r="111" spans="5:47" ht="12.75">
      <c r="E111" t="s">
        <v>106</v>
      </c>
      <c r="F111">
        <v>0</v>
      </c>
      <c r="M111" s="15"/>
      <c r="N111" s="15"/>
      <c r="AP111" t="s">
        <v>106</v>
      </c>
      <c r="AU111" t="s">
        <v>61</v>
      </c>
    </row>
    <row r="112" ht="12.75">
      <c r="AP112" t="s">
        <v>0</v>
      </c>
    </row>
    <row r="114" ht="12.75">
      <c r="A114" t="s">
        <v>54</v>
      </c>
    </row>
    <row r="115" spans="4:26" ht="12.75">
      <c r="D115" t="s">
        <v>3</v>
      </c>
      <c r="Z115"/>
    </row>
    <row r="117" ht="12.75">
      <c r="D117" t="s">
        <v>50</v>
      </c>
    </row>
    <row r="118" ht="12.75">
      <c r="D118" s="9" t="s">
        <v>36</v>
      </c>
    </row>
    <row r="119" spans="1:2" ht="12.75">
      <c r="A119" t="s">
        <v>35</v>
      </c>
      <c r="B119" s="1">
        <v>0.1666091443573717</v>
      </c>
    </row>
    <row r="121" ht="12.75">
      <c r="E121" t="s">
        <v>49</v>
      </c>
    </row>
    <row r="122" spans="2:3" ht="12.75">
      <c r="B122" t="s">
        <v>98</v>
      </c>
      <c r="C122" s="1">
        <v>0.06039182252180677</v>
      </c>
    </row>
    <row r="123" spans="2:26" ht="12.75">
      <c r="B123" t="s">
        <v>99</v>
      </c>
      <c r="C123" s="1">
        <v>0.5</v>
      </c>
      <c r="Z123" s="21" t="s">
        <v>34</v>
      </c>
    </row>
    <row r="124" spans="2:3" ht="12.75">
      <c r="B124" t="s">
        <v>100</v>
      </c>
      <c r="C124" s="1">
        <v>0.00417367488280835</v>
      </c>
    </row>
    <row r="125" spans="2:42" ht="12.75">
      <c r="B125" t="s">
        <v>5</v>
      </c>
      <c r="C125" s="1">
        <v>0.2211613400690251</v>
      </c>
      <c r="G125" s="21" t="s">
        <v>107</v>
      </c>
      <c r="Z125" s="21" t="s">
        <v>101</v>
      </c>
      <c r="AP125" t="s">
        <v>108</v>
      </c>
    </row>
    <row r="126" spans="23:43" ht="12.75">
      <c r="W126" s="30" t="s">
        <v>22</v>
      </c>
      <c r="X126" s="15" t="s">
        <v>2</v>
      </c>
      <c r="AP126" t="s">
        <v>22</v>
      </c>
      <c r="AQ126" t="s">
        <v>37</v>
      </c>
    </row>
    <row r="127" spans="5:52" ht="12.75">
      <c r="E127" s="2"/>
      <c r="F127" s="2"/>
      <c r="G127" s="37">
        <v>0</v>
      </c>
      <c r="H127" s="5">
        <v>0</v>
      </c>
      <c r="I127" s="5">
        <v>0</v>
      </c>
      <c r="J127" s="5">
        <v>0</v>
      </c>
      <c r="K127" s="5">
        <v>0</v>
      </c>
      <c r="L127" s="5">
        <v>0</v>
      </c>
      <c r="M127" s="5">
        <v>0</v>
      </c>
      <c r="N127" s="25">
        <v>0</v>
      </c>
      <c r="O127" s="38">
        <v>0</v>
      </c>
      <c r="P127" s="38">
        <v>0.11856549542707427</v>
      </c>
      <c r="Q127" s="38">
        <v>0.7756727146366044</v>
      </c>
      <c r="R127" s="38">
        <v>0.03797137196555728</v>
      </c>
      <c r="S127" s="5">
        <v>0</v>
      </c>
      <c r="T127" s="5">
        <v>0</v>
      </c>
      <c r="U127" s="5">
        <v>0</v>
      </c>
      <c r="V127" s="39">
        <v>0.06779041797076402</v>
      </c>
      <c r="W127" s="17">
        <v>1</v>
      </c>
      <c r="X127" s="15" t="s">
        <v>97</v>
      </c>
      <c r="Z127" s="34">
        <v>0</v>
      </c>
      <c r="AA127" s="8">
        <v>0</v>
      </c>
      <c r="AB127" s="8">
        <v>0</v>
      </c>
      <c r="AC127" s="8">
        <v>0</v>
      </c>
      <c r="AD127" s="8">
        <v>0</v>
      </c>
      <c r="AE127" s="8">
        <v>0</v>
      </c>
      <c r="AF127" s="8">
        <v>0</v>
      </c>
      <c r="AG127" s="8">
        <v>0</v>
      </c>
      <c r="AH127" s="34">
        <v>0</v>
      </c>
      <c r="AI127" s="35">
        <v>0.11856549542707427</v>
      </c>
      <c r="AJ127" s="8">
        <v>0.7756727146366044</v>
      </c>
      <c r="AK127" s="8">
        <v>0.03797137196555728</v>
      </c>
      <c r="AL127" s="8">
        <v>0</v>
      </c>
      <c r="AM127" s="8">
        <v>0</v>
      </c>
      <c r="AN127" s="8">
        <v>0</v>
      </c>
      <c r="AO127" s="8">
        <v>0.06779041797076402</v>
      </c>
      <c r="AP127" s="6">
        <v>1</v>
      </c>
      <c r="AX127" s="53" t="s">
        <v>90</v>
      </c>
      <c r="AY127" s="53" t="s">
        <v>91</v>
      </c>
      <c r="AZ127" s="53"/>
    </row>
    <row r="128" spans="2:52" ht="12.75">
      <c r="B128" t="s">
        <v>1</v>
      </c>
      <c r="C128" t="s">
        <v>102</v>
      </c>
      <c r="D128" t="s">
        <v>103</v>
      </c>
      <c r="E128" t="s">
        <v>104</v>
      </c>
      <c r="F128" t="s">
        <v>105</v>
      </c>
      <c r="G128" s="23" t="s">
        <v>6</v>
      </c>
      <c r="H128" s="7" t="s">
        <v>8</v>
      </c>
      <c r="I128" s="7" t="s">
        <v>9</v>
      </c>
      <c r="J128" s="7" t="s">
        <v>10</v>
      </c>
      <c r="K128" s="7" t="s">
        <v>11</v>
      </c>
      <c r="L128" s="7" t="s">
        <v>12</v>
      </c>
      <c r="M128" s="7" t="s">
        <v>13</v>
      </c>
      <c r="N128" s="26" t="s">
        <v>14</v>
      </c>
      <c r="O128" s="7" t="s">
        <v>7</v>
      </c>
      <c r="P128" s="7" t="s">
        <v>15</v>
      </c>
      <c r="Q128" s="7" t="s">
        <v>16</v>
      </c>
      <c r="R128" s="7" t="s">
        <v>17</v>
      </c>
      <c r="S128" s="7" t="s">
        <v>18</v>
      </c>
      <c r="T128" s="7" t="s">
        <v>19</v>
      </c>
      <c r="U128" s="7" t="s">
        <v>20</v>
      </c>
      <c r="V128" s="31" t="s">
        <v>21</v>
      </c>
      <c r="W128" s="31"/>
      <c r="Z128" s="23" t="s">
        <v>6</v>
      </c>
      <c r="AA128" s="7" t="s">
        <v>8</v>
      </c>
      <c r="AB128" s="7" t="s">
        <v>9</v>
      </c>
      <c r="AC128" s="7" t="s">
        <v>10</v>
      </c>
      <c r="AD128" s="7" t="s">
        <v>11</v>
      </c>
      <c r="AE128" s="7" t="s">
        <v>12</v>
      </c>
      <c r="AF128" s="7" t="s">
        <v>13</v>
      </c>
      <c r="AG128" s="26" t="s">
        <v>14</v>
      </c>
      <c r="AH128" s="7" t="s">
        <v>7</v>
      </c>
      <c r="AI128" s="7" t="s">
        <v>15</v>
      </c>
      <c r="AJ128" s="7" t="s">
        <v>16</v>
      </c>
      <c r="AK128" s="7" t="s">
        <v>17</v>
      </c>
      <c r="AL128" s="7" t="s">
        <v>18</v>
      </c>
      <c r="AM128" s="7" t="s">
        <v>19</v>
      </c>
      <c r="AN128" s="7" t="s">
        <v>20</v>
      </c>
      <c r="AO128" s="31" t="s">
        <v>21</v>
      </c>
      <c r="AP128" s="6"/>
      <c r="AR128" t="s">
        <v>65</v>
      </c>
      <c r="AS128" t="s">
        <v>59</v>
      </c>
      <c r="AT128" t="s">
        <v>60</v>
      </c>
      <c r="AU128" t="s">
        <v>62</v>
      </c>
      <c r="AW128" t="s">
        <v>63</v>
      </c>
      <c r="AX128" s="53"/>
      <c r="AY128" s="53"/>
      <c r="AZ128" s="53"/>
    </row>
    <row r="129" spans="2:52" ht="12.75">
      <c r="B129" s="16" t="s">
        <v>6</v>
      </c>
      <c r="C129">
        <v>27</v>
      </c>
      <c r="G129" s="19">
        <v>0</v>
      </c>
      <c r="H129" s="4">
        <v>0</v>
      </c>
      <c r="I129" s="4">
        <v>0</v>
      </c>
      <c r="J129" s="4">
        <v>0</v>
      </c>
      <c r="K129" s="4">
        <v>0</v>
      </c>
      <c r="L129" s="4">
        <v>0</v>
      </c>
      <c r="M129" s="4">
        <v>0</v>
      </c>
      <c r="N129" s="27">
        <v>0</v>
      </c>
      <c r="O129" s="4">
        <v>0</v>
      </c>
      <c r="P129" s="4">
        <v>5.1416551003927445E-05</v>
      </c>
      <c r="Q129" s="4">
        <v>0.08025796110180995</v>
      </c>
      <c r="R129" s="4">
        <v>1.6466485264737134E-05</v>
      </c>
      <c r="S129" s="4">
        <v>0</v>
      </c>
      <c r="T129" s="4">
        <v>0</v>
      </c>
      <c r="U129" s="4">
        <v>0</v>
      </c>
      <c r="V129" s="17">
        <v>1.8894886198292222E-06</v>
      </c>
      <c r="W129" s="17">
        <v>0.08032773362669844</v>
      </c>
      <c r="X129" s="18">
        <v>19.439311537661023</v>
      </c>
      <c r="Y129" s="18"/>
      <c r="Z129" s="19">
        <v>0</v>
      </c>
      <c r="AA129" s="4">
        <v>0</v>
      </c>
      <c r="AB129" s="4">
        <v>0</v>
      </c>
      <c r="AC129" s="4">
        <v>0</v>
      </c>
      <c r="AD129" s="4">
        <v>0</v>
      </c>
      <c r="AE129" s="4">
        <v>0</v>
      </c>
      <c r="AF129" s="4">
        <v>0</v>
      </c>
      <c r="AG129" s="4">
        <v>0</v>
      </c>
      <c r="AH129" s="19">
        <v>0</v>
      </c>
      <c r="AI129" s="17">
        <v>2.229705790556496E-08</v>
      </c>
      <c r="AJ129" s="4">
        <v>0.008304198663526986</v>
      </c>
      <c r="AK129" s="4">
        <v>7.140777984523524E-09</v>
      </c>
      <c r="AL129" s="4">
        <v>0</v>
      </c>
      <c r="AM129" s="4">
        <v>0</v>
      </c>
      <c r="AN129" s="4">
        <v>0</v>
      </c>
      <c r="AO129" s="4">
        <v>5.2664776989630684E-11</v>
      </c>
      <c r="AP129" s="6">
        <v>0.008304228154027652</v>
      </c>
      <c r="AQ129">
        <v>2.9406396370467247</v>
      </c>
      <c r="AR129">
        <f>IF(X129&lt;5,1,0)</f>
        <v>0</v>
      </c>
      <c r="AS129">
        <f>POWER(C129-X129,2)</f>
        <v>57.16401002454572</v>
      </c>
      <c r="AT129">
        <f>AR129*X129</f>
        <v>0</v>
      </c>
      <c r="AU129">
        <f>IF(AR129=1,C129,0)</f>
        <v>0</v>
      </c>
      <c r="AV129">
        <f>IF(AR129=0,AQ129,0)</f>
        <v>2.9406396370467247</v>
      </c>
      <c r="AW129">
        <f>IF(AV129&gt;0.00001,1,0)</f>
        <v>1</v>
      </c>
      <c r="AX129" s="53">
        <f>100*(C133+C134+C135+C136+C141+C142+C143+C144)/C145</f>
        <v>10.743801652892563</v>
      </c>
      <c r="AY129" s="53">
        <f>100*(X133+X134+X135+X136+X141+X142+X143+X144)/X145</f>
        <v>11.99942667110318</v>
      </c>
      <c r="AZ129" s="53" t="s">
        <v>93</v>
      </c>
    </row>
    <row r="130" spans="2:52" ht="12.75">
      <c r="B130" s="16" t="s">
        <v>8</v>
      </c>
      <c r="C130">
        <v>5</v>
      </c>
      <c r="G130" s="19">
        <v>0</v>
      </c>
      <c r="H130" s="4">
        <v>0</v>
      </c>
      <c r="I130" s="4">
        <v>0</v>
      </c>
      <c r="J130" s="4">
        <v>0</v>
      </c>
      <c r="K130" s="4">
        <v>0</v>
      </c>
      <c r="L130" s="4">
        <v>0</v>
      </c>
      <c r="M130" s="4">
        <v>0</v>
      </c>
      <c r="N130" s="27">
        <v>0</v>
      </c>
      <c r="O130" s="4">
        <v>0</v>
      </c>
      <c r="P130" s="4">
        <v>0.012267835055228198</v>
      </c>
      <c r="Q130" s="4">
        <v>0.0003363745544250535</v>
      </c>
      <c r="R130" s="4">
        <v>0.003928854060080973</v>
      </c>
      <c r="S130" s="4">
        <v>0</v>
      </c>
      <c r="T130" s="4">
        <v>0</v>
      </c>
      <c r="U130" s="4">
        <v>0</v>
      </c>
      <c r="V130" s="17">
        <v>0.0004508263248739707</v>
      </c>
      <c r="W130" s="17">
        <v>0.016983889994608193</v>
      </c>
      <c r="X130" s="18">
        <v>4.110101378695183</v>
      </c>
      <c r="Y130" s="18"/>
      <c r="Z130" s="19">
        <v>0</v>
      </c>
      <c r="AA130" s="4">
        <v>0</v>
      </c>
      <c r="AB130" s="4">
        <v>0</v>
      </c>
      <c r="AC130" s="4">
        <v>0</v>
      </c>
      <c r="AD130" s="4">
        <v>0</v>
      </c>
      <c r="AE130" s="4">
        <v>0</v>
      </c>
      <c r="AF130" s="4">
        <v>0</v>
      </c>
      <c r="AG130" s="4">
        <v>0</v>
      </c>
      <c r="AH130" s="19">
        <v>0</v>
      </c>
      <c r="AI130" s="17">
        <v>0.0012693387431156418</v>
      </c>
      <c r="AJ130" s="4">
        <v>1.4587059558703442E-07</v>
      </c>
      <c r="AK130" s="4">
        <v>0.0004065139979513038</v>
      </c>
      <c r="AL130" s="4">
        <v>0</v>
      </c>
      <c r="AM130" s="4">
        <v>0</v>
      </c>
      <c r="AN130" s="4">
        <v>0</v>
      </c>
      <c r="AO130" s="4">
        <v>2.9981283680390373E-06</v>
      </c>
      <c r="AP130" s="6">
        <v>0.0016789967400305714</v>
      </c>
      <c r="AQ130">
        <v>0.1926764046028523</v>
      </c>
      <c r="AR130">
        <f aca="true" t="shared" si="26" ref="AR130:AR144">IF(X130&lt;5,1,0)</f>
        <v>1</v>
      </c>
      <c r="AS130">
        <f aca="true" t="shared" si="27" ref="AS130:AS144">POWER(C130-X130,2)</f>
        <v>0.7919195562002141</v>
      </c>
      <c r="AT130">
        <f aca="true" t="shared" si="28" ref="AT130:AT144">AR130*X130</f>
        <v>4.110101378695183</v>
      </c>
      <c r="AU130">
        <f aca="true" t="shared" si="29" ref="AU130:AU144">IF(AR130=1,C130,0)</f>
        <v>5</v>
      </c>
      <c r="AV130">
        <f aca="true" t="shared" si="30" ref="AV130:AV144">IF(AR130=0,AQ130,0)</f>
        <v>0</v>
      </c>
      <c r="AW130">
        <f aca="true" t="shared" si="31" ref="AW130:AW144">IF(AV130&gt;0.00001,1,0)</f>
        <v>0</v>
      </c>
      <c r="AX130" s="53">
        <f>100*(C131+C132+C135+C136+C139+C140+C143+C144)/C145</f>
        <v>33.47107438016529</v>
      </c>
      <c r="AY130" s="53">
        <f>100*(X131+X132+X135+X136+X139+X140+X143+X144)/X145</f>
        <v>49.99999999999999</v>
      </c>
      <c r="AZ130" s="53" t="s">
        <v>94</v>
      </c>
    </row>
    <row r="131" spans="2:52" ht="12.75">
      <c r="B131" s="16" t="s">
        <v>9</v>
      </c>
      <c r="C131">
        <v>8</v>
      </c>
      <c r="G131" s="19">
        <v>0</v>
      </c>
      <c r="H131" s="4">
        <v>0</v>
      </c>
      <c r="I131" s="4">
        <v>0</v>
      </c>
      <c r="J131" s="4">
        <v>0</v>
      </c>
      <c r="K131" s="4">
        <v>0</v>
      </c>
      <c r="L131" s="4">
        <v>0</v>
      </c>
      <c r="M131" s="4">
        <v>0</v>
      </c>
      <c r="N131" s="27">
        <v>0</v>
      </c>
      <c r="O131" s="4">
        <v>0</v>
      </c>
      <c r="P131" s="4">
        <v>5.1416551003927445E-05</v>
      </c>
      <c r="Q131" s="4">
        <v>0.08025796110180995</v>
      </c>
      <c r="R131" s="4">
        <v>1.6466485264737134E-05</v>
      </c>
      <c r="S131" s="4">
        <v>0</v>
      </c>
      <c r="T131" s="4">
        <v>0</v>
      </c>
      <c r="U131" s="4">
        <v>0</v>
      </c>
      <c r="V131" s="17">
        <v>1.8894886198292222E-06</v>
      </c>
      <c r="W131" s="17">
        <v>0.08032773362669844</v>
      </c>
      <c r="X131" s="18">
        <v>19.439311537661023</v>
      </c>
      <c r="Y131" s="18"/>
      <c r="Z131" s="19">
        <v>0</v>
      </c>
      <c r="AA131" s="4">
        <v>0</v>
      </c>
      <c r="AB131" s="4">
        <v>0</v>
      </c>
      <c r="AC131" s="4">
        <v>0</v>
      </c>
      <c r="AD131" s="4">
        <v>0</v>
      </c>
      <c r="AE131" s="4">
        <v>0</v>
      </c>
      <c r="AF131" s="4">
        <v>0</v>
      </c>
      <c r="AG131" s="4">
        <v>0</v>
      </c>
      <c r="AH131" s="19">
        <v>0</v>
      </c>
      <c r="AI131" s="17">
        <v>2.229705790556496E-08</v>
      </c>
      <c r="AJ131" s="4">
        <v>0.008304198663526986</v>
      </c>
      <c r="AK131" s="4">
        <v>7.140777984523524E-09</v>
      </c>
      <c r="AL131" s="4">
        <v>0</v>
      </c>
      <c r="AM131" s="4">
        <v>0</v>
      </c>
      <c r="AN131" s="4">
        <v>0</v>
      </c>
      <c r="AO131" s="4">
        <v>5.2664776989630684E-11</v>
      </c>
      <c r="AP131" s="6">
        <v>0.008304228154027652</v>
      </c>
      <c r="AQ131">
        <v>6.731609203450714</v>
      </c>
      <c r="AR131">
        <f t="shared" si="26"/>
        <v>0</v>
      </c>
      <c r="AS131">
        <f t="shared" si="27"/>
        <v>130.8578484556646</v>
      </c>
      <c r="AT131">
        <f t="shared" si="28"/>
        <v>0</v>
      </c>
      <c r="AU131">
        <f t="shared" si="29"/>
        <v>0</v>
      </c>
      <c r="AV131">
        <f t="shared" si="30"/>
        <v>6.731609203450714</v>
      </c>
      <c r="AW131">
        <f t="shared" si="31"/>
        <v>1</v>
      </c>
      <c r="AX131" s="53">
        <f>100*(C130+C132+C134+C136+C138+C140+C142+C144)/C145</f>
        <v>22.31404958677686</v>
      </c>
      <c r="AY131" s="53">
        <f>100*(X130+X132+X134+X136+X138+X140+X142+X144)/X145</f>
        <v>22.662842193330434</v>
      </c>
      <c r="AZ131" s="53" t="s">
        <v>95</v>
      </c>
    </row>
    <row r="132" spans="2:52" ht="12.75">
      <c r="B132" s="16" t="s">
        <v>10</v>
      </c>
      <c r="C132">
        <v>4</v>
      </c>
      <c r="G132" s="19">
        <v>0</v>
      </c>
      <c r="H132" s="4">
        <v>0</v>
      </c>
      <c r="I132" s="4">
        <v>0</v>
      </c>
      <c r="J132" s="4">
        <v>0</v>
      </c>
      <c r="K132" s="4">
        <v>0</v>
      </c>
      <c r="L132" s="4">
        <v>0</v>
      </c>
      <c r="M132" s="4">
        <v>0</v>
      </c>
      <c r="N132" s="27">
        <v>0</v>
      </c>
      <c r="O132" s="4">
        <v>0</v>
      </c>
      <c r="P132" s="4">
        <v>0.012267835055228198</v>
      </c>
      <c r="Q132" s="4">
        <v>0.0003363745544250535</v>
      </c>
      <c r="R132" s="4">
        <v>0.003928854060080973</v>
      </c>
      <c r="S132" s="4">
        <v>0</v>
      </c>
      <c r="T132" s="4">
        <v>0</v>
      </c>
      <c r="U132" s="4">
        <v>0</v>
      </c>
      <c r="V132" s="17">
        <v>0.0004508263248739707</v>
      </c>
      <c r="W132" s="17">
        <v>0.016983889994608193</v>
      </c>
      <c r="X132" s="18">
        <v>4.110101378695183</v>
      </c>
      <c r="Y132" s="18"/>
      <c r="Z132" s="19">
        <v>0</v>
      </c>
      <c r="AA132" s="4">
        <v>0</v>
      </c>
      <c r="AB132" s="4">
        <v>0</v>
      </c>
      <c r="AC132" s="4">
        <v>0</v>
      </c>
      <c r="AD132" s="4">
        <v>0</v>
      </c>
      <c r="AE132" s="4">
        <v>0</v>
      </c>
      <c r="AF132" s="4">
        <v>0</v>
      </c>
      <c r="AG132" s="4">
        <v>0</v>
      </c>
      <c r="AH132" s="19">
        <v>0</v>
      </c>
      <c r="AI132" s="17">
        <v>0.0012693387431156418</v>
      </c>
      <c r="AJ132" s="4">
        <v>1.4587059558703442E-07</v>
      </c>
      <c r="AK132" s="4">
        <v>0.0004065139979513038</v>
      </c>
      <c r="AL132" s="4">
        <v>0</v>
      </c>
      <c r="AM132" s="4">
        <v>0</v>
      </c>
      <c r="AN132" s="4">
        <v>0</v>
      </c>
      <c r="AO132" s="4">
        <v>2.9981283680390373E-06</v>
      </c>
      <c r="AP132" s="6">
        <v>0.0016789967400305714</v>
      </c>
      <c r="AQ132">
        <v>0.0029493952760913447</v>
      </c>
      <c r="AR132">
        <f t="shared" si="26"/>
        <v>1</v>
      </c>
      <c r="AS132">
        <f t="shared" si="27"/>
        <v>0.012122313590580096</v>
      </c>
      <c r="AT132">
        <f t="shared" si="28"/>
        <v>4.110101378695183</v>
      </c>
      <c r="AU132">
        <f t="shared" si="29"/>
        <v>4</v>
      </c>
      <c r="AV132">
        <f t="shared" si="30"/>
        <v>0</v>
      </c>
      <c r="AW132">
        <f t="shared" si="31"/>
        <v>0</v>
      </c>
      <c r="AX132" s="53">
        <f>100*(C137+C138+C139+C140+C141+C142+C143+C144)/C145</f>
        <v>78.51239669421487</v>
      </c>
      <c r="AY132" s="53">
        <f>100*(X137+X138+X139+X140+X141+X142+X143+X144)/X145</f>
        <v>77.88386599309747</v>
      </c>
      <c r="AZ132" s="53" t="s">
        <v>96</v>
      </c>
    </row>
    <row r="133" spans="2:49" ht="12.75">
      <c r="B133" s="3" t="s">
        <v>11</v>
      </c>
      <c r="C133">
        <v>0</v>
      </c>
      <c r="G133" s="19">
        <v>0</v>
      </c>
      <c r="H133" s="4">
        <v>0</v>
      </c>
      <c r="I133" s="4">
        <v>0</v>
      </c>
      <c r="J133" s="4">
        <v>0</v>
      </c>
      <c r="K133" s="4">
        <v>0</v>
      </c>
      <c r="L133" s="4">
        <v>0</v>
      </c>
      <c r="M133" s="4">
        <v>0</v>
      </c>
      <c r="N133" s="27">
        <v>0</v>
      </c>
      <c r="O133" s="4">
        <v>0</v>
      </c>
      <c r="P133" s="4">
        <v>3.3047171122397736E-06</v>
      </c>
      <c r="Q133" s="4">
        <v>0.005158452915800711</v>
      </c>
      <c r="R133" s="4">
        <v>1.0583571743010192E-06</v>
      </c>
      <c r="S133" s="4">
        <v>0</v>
      </c>
      <c r="T133" s="4">
        <v>0</v>
      </c>
      <c r="U133" s="4">
        <v>0</v>
      </c>
      <c r="V133" s="17">
        <v>2.9397671477830532E-05</v>
      </c>
      <c r="W133" s="17">
        <v>0.0051922136615650824</v>
      </c>
      <c r="X133" s="18">
        <v>1.25651570609875</v>
      </c>
      <c r="Y133" s="18"/>
      <c r="Z133" s="19">
        <v>0</v>
      </c>
      <c r="AA133" s="4">
        <v>0</v>
      </c>
      <c r="AB133" s="4">
        <v>0</v>
      </c>
      <c r="AC133" s="4">
        <v>0</v>
      </c>
      <c r="AD133" s="4">
        <v>0</v>
      </c>
      <c r="AE133" s="4">
        <v>0</v>
      </c>
      <c r="AF133" s="4">
        <v>0</v>
      </c>
      <c r="AG133" s="4">
        <v>0</v>
      </c>
      <c r="AH133" s="19">
        <v>0</v>
      </c>
      <c r="AI133" s="17">
        <v>9.211073721399522E-11</v>
      </c>
      <c r="AJ133" s="4">
        <v>3.430523722495412E-05</v>
      </c>
      <c r="AK133" s="4">
        <v>2.949906338413229E-11</v>
      </c>
      <c r="AL133" s="4">
        <v>0</v>
      </c>
      <c r="AM133" s="4">
        <v>0</v>
      </c>
      <c r="AN133" s="4">
        <v>0</v>
      </c>
      <c r="AO133" s="4">
        <v>1.2748454931951657E-08</v>
      </c>
      <c r="AP133" s="6">
        <v>3.431810728968667E-05</v>
      </c>
      <c r="AQ133">
        <v>1.25651570609875</v>
      </c>
      <c r="AR133">
        <f t="shared" si="26"/>
        <v>1</v>
      </c>
      <c r="AS133">
        <f t="shared" si="27"/>
        <v>1.57883171967284</v>
      </c>
      <c r="AT133">
        <f t="shared" si="28"/>
        <v>1.25651570609875</v>
      </c>
      <c r="AU133">
        <f t="shared" si="29"/>
        <v>0</v>
      </c>
      <c r="AV133">
        <f t="shared" si="30"/>
        <v>0</v>
      </c>
      <c r="AW133">
        <f t="shared" si="31"/>
        <v>0</v>
      </c>
    </row>
    <row r="134" spans="1:50" ht="12.75">
      <c r="A134" s="15"/>
      <c r="B134" s="16" t="s">
        <v>12</v>
      </c>
      <c r="C134">
        <v>3</v>
      </c>
      <c r="G134" s="19">
        <v>0</v>
      </c>
      <c r="H134" s="17">
        <v>0</v>
      </c>
      <c r="I134" s="17">
        <v>0</v>
      </c>
      <c r="J134" s="17">
        <v>0</v>
      </c>
      <c r="K134" s="17">
        <v>0</v>
      </c>
      <c r="L134" s="17">
        <v>0</v>
      </c>
      <c r="M134" s="17">
        <v>0</v>
      </c>
      <c r="N134" s="27">
        <v>0</v>
      </c>
      <c r="O134" s="17">
        <v>0</v>
      </c>
      <c r="P134" s="17">
        <v>0.0007884956039554427</v>
      </c>
      <c r="Q134" s="17">
        <v>2.1619939969244385E-05</v>
      </c>
      <c r="R134" s="17">
        <v>0.0002525208515610186</v>
      </c>
      <c r="S134" s="17">
        <v>0</v>
      </c>
      <c r="T134" s="17">
        <v>0</v>
      </c>
      <c r="U134" s="17">
        <v>0</v>
      </c>
      <c r="V134" s="17">
        <v>0.007014196356155115</v>
      </c>
      <c r="W134" s="17">
        <v>0.008076832751640822</v>
      </c>
      <c r="X134" s="18">
        <v>1.9545935258970788</v>
      </c>
      <c r="Y134" s="18"/>
      <c r="Z134" s="19">
        <v>0</v>
      </c>
      <c r="AA134" s="4">
        <v>0</v>
      </c>
      <c r="AB134" s="4">
        <v>0</v>
      </c>
      <c r="AC134" s="17">
        <v>0</v>
      </c>
      <c r="AD134" s="17">
        <v>0</v>
      </c>
      <c r="AE134" s="17">
        <v>0</v>
      </c>
      <c r="AF134" s="17">
        <v>0</v>
      </c>
      <c r="AG134" s="17">
        <v>0</v>
      </c>
      <c r="AH134" s="19">
        <v>0</v>
      </c>
      <c r="AI134" s="17">
        <v>5.243728921450516E-06</v>
      </c>
      <c r="AJ134" s="17">
        <v>6.026018389633749E-10</v>
      </c>
      <c r="AK134" s="17">
        <v>1.6793383323347645E-06</v>
      </c>
      <c r="AL134" s="17">
        <v>0</v>
      </c>
      <c r="AM134" s="17">
        <v>0</v>
      </c>
      <c r="AN134" s="17">
        <v>0</v>
      </c>
      <c r="AO134" s="17">
        <v>0.0007257508066098329</v>
      </c>
      <c r="AP134" s="6">
        <v>0.0007326744764654571</v>
      </c>
      <c r="AQ134">
        <v>0.5591314417122694</v>
      </c>
      <c r="AR134">
        <f t="shared" si="26"/>
        <v>1</v>
      </c>
      <c r="AS134">
        <f t="shared" si="27"/>
        <v>1.0928746960963016</v>
      </c>
      <c r="AT134">
        <f t="shared" si="28"/>
        <v>1.9545935258970788</v>
      </c>
      <c r="AU134">
        <f t="shared" si="29"/>
        <v>3</v>
      </c>
      <c r="AV134">
        <f t="shared" si="30"/>
        <v>0</v>
      </c>
      <c r="AW134">
        <f t="shared" si="31"/>
        <v>0</v>
      </c>
      <c r="AX134" s="15"/>
    </row>
    <row r="135" spans="1:50" ht="12.75">
      <c r="A135" s="15"/>
      <c r="B135" s="16" t="s">
        <v>13</v>
      </c>
      <c r="C135">
        <v>3</v>
      </c>
      <c r="G135" s="19">
        <v>0</v>
      </c>
      <c r="H135" s="17">
        <v>0</v>
      </c>
      <c r="I135" s="17">
        <v>0</v>
      </c>
      <c r="J135" s="17">
        <v>0</v>
      </c>
      <c r="K135" s="17">
        <v>0</v>
      </c>
      <c r="L135" s="17">
        <v>0</v>
      </c>
      <c r="M135" s="17">
        <v>0</v>
      </c>
      <c r="N135" s="27">
        <v>0</v>
      </c>
      <c r="O135" s="17">
        <v>0</v>
      </c>
      <c r="P135" s="17">
        <v>3.3047171122397736E-06</v>
      </c>
      <c r="Q135" s="17">
        <v>0.005158452915800711</v>
      </c>
      <c r="R135" s="17">
        <v>1.0583571743010192E-06</v>
      </c>
      <c r="S135" s="17">
        <v>0</v>
      </c>
      <c r="T135" s="17">
        <v>0</v>
      </c>
      <c r="U135" s="17">
        <v>0</v>
      </c>
      <c r="V135" s="17">
        <v>2.9397671477830532E-05</v>
      </c>
      <c r="W135" s="17">
        <v>0.0051922136615650824</v>
      </c>
      <c r="X135" s="18">
        <v>1.25651570609875</v>
      </c>
      <c r="Y135" s="18"/>
      <c r="Z135" s="19">
        <v>0</v>
      </c>
      <c r="AA135" s="4">
        <v>0</v>
      </c>
      <c r="AB135" s="4">
        <v>0</v>
      </c>
      <c r="AC135" s="17">
        <v>0</v>
      </c>
      <c r="AD135" s="17">
        <v>0</v>
      </c>
      <c r="AE135" s="17">
        <v>0</v>
      </c>
      <c r="AF135" s="17">
        <v>0</v>
      </c>
      <c r="AG135" s="17">
        <v>0</v>
      </c>
      <c r="AH135" s="19">
        <v>0</v>
      </c>
      <c r="AI135" s="17">
        <v>9.211073721399522E-11</v>
      </c>
      <c r="AJ135" s="17">
        <v>3.430523722495412E-05</v>
      </c>
      <c r="AK135" s="17">
        <v>2.949906338413229E-11</v>
      </c>
      <c r="AL135" s="17">
        <v>0</v>
      </c>
      <c r="AM135" s="17">
        <v>0</v>
      </c>
      <c r="AN135" s="17">
        <v>0</v>
      </c>
      <c r="AO135" s="17">
        <v>1.2748454931951657E-08</v>
      </c>
      <c r="AP135" s="6">
        <v>3.431810728968667E-05</v>
      </c>
      <c r="AQ135">
        <v>2.419179854518624</v>
      </c>
      <c r="AR135">
        <f t="shared" si="26"/>
        <v>1</v>
      </c>
      <c r="AS135">
        <f t="shared" si="27"/>
        <v>3.0397374830803403</v>
      </c>
      <c r="AT135">
        <f t="shared" si="28"/>
        <v>1.25651570609875</v>
      </c>
      <c r="AU135">
        <f t="shared" si="29"/>
        <v>3</v>
      </c>
      <c r="AV135">
        <f t="shared" si="30"/>
        <v>0</v>
      </c>
      <c r="AW135">
        <f t="shared" si="31"/>
        <v>0</v>
      </c>
      <c r="AX135" s="15"/>
    </row>
    <row r="136" spans="1:50" ht="13.5" thickBot="1">
      <c r="A136" s="11" t="s">
        <v>4</v>
      </c>
      <c r="B136" s="12" t="s">
        <v>14</v>
      </c>
      <c r="C136">
        <v>2</v>
      </c>
      <c r="G136" s="20">
        <v>0</v>
      </c>
      <c r="H136" s="13">
        <v>0</v>
      </c>
      <c r="I136" s="13">
        <v>0</v>
      </c>
      <c r="J136" s="13">
        <v>0</v>
      </c>
      <c r="K136" s="13">
        <v>0</v>
      </c>
      <c r="L136" s="13">
        <v>0</v>
      </c>
      <c r="M136" s="13">
        <v>0</v>
      </c>
      <c r="N136" s="28">
        <v>0</v>
      </c>
      <c r="O136" s="13">
        <v>0</v>
      </c>
      <c r="P136" s="13">
        <v>0.0007884956039554427</v>
      </c>
      <c r="Q136" s="13">
        <v>2.1619939969244385E-05</v>
      </c>
      <c r="R136" s="13">
        <v>0.0002525208515610186</v>
      </c>
      <c r="S136" s="13">
        <v>0</v>
      </c>
      <c r="T136" s="13">
        <v>0</v>
      </c>
      <c r="U136" s="13">
        <v>0</v>
      </c>
      <c r="V136" s="13">
        <v>0.007014196356155115</v>
      </c>
      <c r="W136" s="13">
        <v>0.008076832751640822</v>
      </c>
      <c r="X136" s="14">
        <v>1.9545935258970788</v>
      </c>
      <c r="Y136" s="14"/>
      <c r="Z136" s="20">
        <v>0</v>
      </c>
      <c r="AA136" s="13">
        <v>0</v>
      </c>
      <c r="AB136" s="13">
        <v>0</v>
      </c>
      <c r="AC136" s="13">
        <v>0</v>
      </c>
      <c r="AD136" s="13">
        <v>0</v>
      </c>
      <c r="AE136" s="13">
        <v>0</v>
      </c>
      <c r="AF136" s="13">
        <v>0</v>
      </c>
      <c r="AG136" s="13">
        <v>0</v>
      </c>
      <c r="AH136" s="20">
        <v>0</v>
      </c>
      <c r="AI136" s="13">
        <v>5.243728921450516E-06</v>
      </c>
      <c r="AJ136" s="13">
        <v>6.026018389633749E-10</v>
      </c>
      <c r="AK136" s="13">
        <v>1.6793383323347645E-06</v>
      </c>
      <c r="AL136" s="13">
        <v>0</v>
      </c>
      <c r="AM136" s="13">
        <v>0</v>
      </c>
      <c r="AN136" s="13">
        <v>0</v>
      </c>
      <c r="AO136" s="13">
        <v>0.0007257508066098329</v>
      </c>
      <c r="AP136" s="6">
        <v>0.0007326744764654571</v>
      </c>
      <c r="AQ136">
        <v>0.001054821814941291</v>
      </c>
      <c r="AR136">
        <f t="shared" si="26"/>
        <v>1</v>
      </c>
      <c r="AS136">
        <f t="shared" si="27"/>
        <v>0.0020617478904592537</v>
      </c>
      <c r="AT136">
        <f t="shared" si="28"/>
        <v>1.9545935258970788</v>
      </c>
      <c r="AU136">
        <f t="shared" si="29"/>
        <v>2</v>
      </c>
      <c r="AV136">
        <f t="shared" si="30"/>
        <v>0</v>
      </c>
      <c r="AW136">
        <f t="shared" si="31"/>
        <v>0</v>
      </c>
      <c r="AX136" s="11"/>
    </row>
    <row r="137" spans="2:49" ht="12.75">
      <c r="B137" s="3" t="s">
        <v>7</v>
      </c>
      <c r="C137">
        <v>99</v>
      </c>
      <c r="G137" s="19">
        <v>0</v>
      </c>
      <c r="H137" s="4">
        <v>0</v>
      </c>
      <c r="I137" s="4">
        <v>0</v>
      </c>
      <c r="J137" s="4">
        <v>0</v>
      </c>
      <c r="K137" s="4">
        <v>0</v>
      </c>
      <c r="L137" s="4">
        <v>0</v>
      </c>
      <c r="M137" s="4">
        <v>0</v>
      </c>
      <c r="N137" s="27">
        <v>0</v>
      </c>
      <c r="O137" s="4">
        <v>0</v>
      </c>
      <c r="P137" s="4">
        <v>0.00018106780176713186</v>
      </c>
      <c r="Q137" s="4">
        <v>0.28263530531067066</v>
      </c>
      <c r="R137" s="4">
        <v>5.7988142563064484E-05</v>
      </c>
      <c r="S137" s="4">
        <v>0</v>
      </c>
      <c r="T137" s="4">
        <v>0</v>
      </c>
      <c r="U137" s="4">
        <v>0</v>
      </c>
      <c r="V137" s="17">
        <v>6.653996508446394E-06</v>
      </c>
      <c r="W137" s="17">
        <v>0.2828810152515093</v>
      </c>
      <c r="X137" s="18">
        <v>68.45720569086525</v>
      </c>
      <c r="Y137" s="18"/>
      <c r="Z137" s="19">
        <v>0</v>
      </c>
      <c r="AA137" s="4">
        <v>0</v>
      </c>
      <c r="AB137" s="19">
        <v>0</v>
      </c>
      <c r="AC137" s="4">
        <v>0</v>
      </c>
      <c r="AD137" s="4">
        <v>0</v>
      </c>
      <c r="AE137" s="4">
        <v>0</v>
      </c>
      <c r="AF137" s="4">
        <v>0</v>
      </c>
      <c r="AG137" s="4">
        <v>0</v>
      </c>
      <c r="AH137" s="19">
        <v>0</v>
      </c>
      <c r="AI137" s="17">
        <v>2.765184653316501E-07</v>
      </c>
      <c r="AJ137" s="4">
        <v>0.10298507901683812</v>
      </c>
      <c r="AK137" s="4">
        <v>8.855683910932767E-08</v>
      </c>
      <c r="AL137" s="4">
        <v>0</v>
      </c>
      <c r="AM137" s="4">
        <v>0</v>
      </c>
      <c r="AN137" s="4">
        <v>0</v>
      </c>
      <c r="AO137" s="4">
        <v>6.531257788307425E-10</v>
      </c>
      <c r="AP137" s="6">
        <v>0.10298544474526834</v>
      </c>
      <c r="AQ137">
        <v>13.626940725899257</v>
      </c>
      <c r="AR137">
        <f t="shared" si="26"/>
        <v>0</v>
      </c>
      <c r="AS137">
        <f t="shared" si="27"/>
        <v>932.862284210114</v>
      </c>
      <c r="AT137">
        <f t="shared" si="28"/>
        <v>0</v>
      </c>
      <c r="AU137">
        <f t="shared" si="29"/>
        <v>0</v>
      </c>
      <c r="AV137">
        <f t="shared" si="30"/>
        <v>13.626940725899257</v>
      </c>
      <c r="AW137">
        <f t="shared" si="31"/>
        <v>1</v>
      </c>
    </row>
    <row r="138" spans="2:49" ht="12.75">
      <c r="B138" s="3" t="s">
        <v>15</v>
      </c>
      <c r="C138">
        <v>21</v>
      </c>
      <c r="G138" s="19">
        <v>0</v>
      </c>
      <c r="H138" s="4">
        <v>0</v>
      </c>
      <c r="I138" s="4">
        <v>0</v>
      </c>
      <c r="J138" s="4">
        <v>0</v>
      </c>
      <c r="K138" s="4">
        <v>0</v>
      </c>
      <c r="L138" s="4">
        <v>0</v>
      </c>
      <c r="M138" s="4">
        <v>0</v>
      </c>
      <c r="N138" s="27">
        <v>0</v>
      </c>
      <c r="O138" s="4">
        <v>0</v>
      </c>
      <c r="P138" s="4">
        <v>0.043202235127016896</v>
      </c>
      <c r="Q138" s="4">
        <v>0.0011845718927255653</v>
      </c>
      <c r="R138" s="4">
        <v>0.013835797116543142</v>
      </c>
      <c r="S138" s="4">
        <v>0</v>
      </c>
      <c r="T138" s="4">
        <v>0</v>
      </c>
      <c r="U138" s="4">
        <v>0</v>
      </c>
      <c r="V138" s="17">
        <v>0.001587623635382494</v>
      </c>
      <c r="W138" s="17">
        <v>0.05981022777166809</v>
      </c>
      <c r="X138" s="18">
        <v>14.474075120743677</v>
      </c>
      <c r="Y138" s="18"/>
      <c r="Z138" s="19">
        <v>0</v>
      </c>
      <c r="AA138" s="4">
        <v>0</v>
      </c>
      <c r="AB138" s="19">
        <v>0</v>
      </c>
      <c r="AC138" s="4">
        <v>0</v>
      </c>
      <c r="AD138" s="4">
        <v>0</v>
      </c>
      <c r="AE138" s="4">
        <v>0</v>
      </c>
      <c r="AF138" s="4">
        <v>0</v>
      </c>
      <c r="AG138" s="4">
        <v>0</v>
      </c>
      <c r="AH138" s="19">
        <v>0</v>
      </c>
      <c r="AI138" s="17">
        <v>0.01574178991322171</v>
      </c>
      <c r="AJ138" s="4">
        <v>1.8090240156156836E-06</v>
      </c>
      <c r="AK138" s="4">
        <v>0.005041410724473781</v>
      </c>
      <c r="AL138" s="4">
        <v>0</v>
      </c>
      <c r="AM138" s="4">
        <v>0</v>
      </c>
      <c r="AN138" s="4">
        <v>0</v>
      </c>
      <c r="AO138" s="4">
        <v>3.718149088138332E-05</v>
      </c>
      <c r="AP138" s="6">
        <v>0.020822191152592488</v>
      </c>
      <c r="AQ138">
        <v>2.9423431324231304</v>
      </c>
      <c r="AR138">
        <f t="shared" si="26"/>
        <v>0</v>
      </c>
      <c r="AS138">
        <f t="shared" si="27"/>
        <v>42.58769552969665</v>
      </c>
      <c r="AT138">
        <f t="shared" si="28"/>
        <v>0</v>
      </c>
      <c r="AU138">
        <f t="shared" si="29"/>
        <v>0</v>
      </c>
      <c r="AV138">
        <f t="shared" si="30"/>
        <v>2.9423431324231304</v>
      </c>
      <c r="AW138">
        <f t="shared" si="31"/>
        <v>1</v>
      </c>
    </row>
    <row r="139" spans="2:49" ht="12.75">
      <c r="B139" s="3" t="s">
        <v>16</v>
      </c>
      <c r="C139">
        <v>44</v>
      </c>
      <c r="G139" s="19">
        <v>0</v>
      </c>
      <c r="H139" s="4">
        <v>0</v>
      </c>
      <c r="I139" s="4">
        <v>0</v>
      </c>
      <c r="J139" s="4">
        <v>0</v>
      </c>
      <c r="K139" s="4">
        <v>0</v>
      </c>
      <c r="L139" s="4">
        <v>0</v>
      </c>
      <c r="M139" s="4">
        <v>0</v>
      </c>
      <c r="N139" s="27">
        <v>0</v>
      </c>
      <c r="O139" s="4">
        <v>0</v>
      </c>
      <c r="P139" s="4">
        <v>0.00018106780176713186</v>
      </c>
      <c r="Q139" s="4">
        <v>0.28263530531067066</v>
      </c>
      <c r="R139" s="4">
        <v>5.7988142563064484E-05</v>
      </c>
      <c r="S139" s="4">
        <v>0</v>
      </c>
      <c r="T139" s="4">
        <v>0</v>
      </c>
      <c r="U139" s="4">
        <v>0</v>
      </c>
      <c r="V139" s="17">
        <v>6.653996508446394E-06</v>
      </c>
      <c r="W139" s="17">
        <v>0.2828810152515093</v>
      </c>
      <c r="X139" s="18">
        <v>68.45720569086525</v>
      </c>
      <c r="Y139" s="18"/>
      <c r="Z139" s="19">
        <v>0</v>
      </c>
      <c r="AA139" s="4">
        <v>0</v>
      </c>
      <c r="AB139" s="19">
        <v>0</v>
      </c>
      <c r="AC139" s="4">
        <v>0</v>
      </c>
      <c r="AD139" s="4">
        <v>0</v>
      </c>
      <c r="AE139" s="4">
        <v>0</v>
      </c>
      <c r="AF139" s="4">
        <v>0</v>
      </c>
      <c r="AG139" s="4">
        <v>0</v>
      </c>
      <c r="AH139" s="19">
        <v>0</v>
      </c>
      <c r="AI139" s="17">
        <v>2.765184653316501E-07</v>
      </c>
      <c r="AJ139" s="4">
        <v>0.10298507901683812</v>
      </c>
      <c r="AK139" s="4">
        <v>8.855683910932767E-08</v>
      </c>
      <c r="AL139" s="4">
        <v>0</v>
      </c>
      <c r="AM139" s="4">
        <v>0</v>
      </c>
      <c r="AN139" s="4">
        <v>0</v>
      </c>
      <c r="AO139" s="4">
        <v>6.531257788307425E-10</v>
      </c>
      <c r="AP139" s="6">
        <v>0.10298544474526834</v>
      </c>
      <c r="AQ139">
        <v>8.73764717926703</v>
      </c>
      <c r="AR139">
        <f t="shared" si="26"/>
        <v>0</v>
      </c>
      <c r="AS139">
        <f t="shared" si="27"/>
        <v>598.1549102052917</v>
      </c>
      <c r="AT139">
        <f t="shared" si="28"/>
        <v>0</v>
      </c>
      <c r="AU139">
        <f t="shared" si="29"/>
        <v>0</v>
      </c>
      <c r="AV139">
        <f t="shared" si="30"/>
        <v>8.73764717926703</v>
      </c>
      <c r="AW139">
        <f t="shared" si="31"/>
        <v>1</v>
      </c>
    </row>
    <row r="140" spans="2:49" ht="12.75">
      <c r="B140" s="3" t="s">
        <v>17</v>
      </c>
      <c r="C140">
        <v>8</v>
      </c>
      <c r="G140" s="19">
        <v>0</v>
      </c>
      <c r="H140" s="4">
        <v>0</v>
      </c>
      <c r="I140" s="4">
        <v>0</v>
      </c>
      <c r="J140" s="4">
        <v>0</v>
      </c>
      <c r="K140" s="4">
        <v>0</v>
      </c>
      <c r="L140" s="4">
        <v>0</v>
      </c>
      <c r="M140" s="4">
        <v>0</v>
      </c>
      <c r="N140" s="27">
        <v>0</v>
      </c>
      <c r="O140" s="4">
        <v>0</v>
      </c>
      <c r="P140" s="4">
        <v>0.043202235127016896</v>
      </c>
      <c r="Q140" s="4">
        <v>0.0011845718927255653</v>
      </c>
      <c r="R140" s="4">
        <v>0.013835797116543142</v>
      </c>
      <c r="S140" s="4">
        <v>0</v>
      </c>
      <c r="T140" s="4">
        <v>0</v>
      </c>
      <c r="U140" s="4">
        <v>0</v>
      </c>
      <c r="V140" s="17">
        <v>0.001587623635382494</v>
      </c>
      <c r="W140" s="17">
        <v>0.05981022777166809</v>
      </c>
      <c r="X140" s="18">
        <v>14.474075120743677</v>
      </c>
      <c r="Y140" s="18"/>
      <c r="Z140" s="19">
        <v>0</v>
      </c>
      <c r="AA140" s="4">
        <v>0</v>
      </c>
      <c r="AB140" s="19">
        <v>0</v>
      </c>
      <c r="AC140" s="4">
        <v>0</v>
      </c>
      <c r="AD140" s="4">
        <v>0</v>
      </c>
      <c r="AE140" s="4">
        <v>0</v>
      </c>
      <c r="AF140" s="4">
        <v>0</v>
      </c>
      <c r="AG140" s="4">
        <v>0</v>
      </c>
      <c r="AH140" s="19">
        <v>0</v>
      </c>
      <c r="AI140" s="17">
        <v>0.01574178991322171</v>
      </c>
      <c r="AJ140" s="4">
        <v>1.8090240156156836E-06</v>
      </c>
      <c r="AK140" s="4">
        <v>0.005041410724473781</v>
      </c>
      <c r="AL140" s="4">
        <v>0</v>
      </c>
      <c r="AM140" s="4">
        <v>0</v>
      </c>
      <c r="AN140" s="4">
        <v>0</v>
      </c>
      <c r="AO140" s="4">
        <v>3.718149088138332E-05</v>
      </c>
      <c r="AP140" s="6">
        <v>0.020822191152592488</v>
      </c>
      <c r="AQ140">
        <v>2.8957738798082695</v>
      </c>
      <c r="AR140">
        <f t="shared" si="26"/>
        <v>0</v>
      </c>
      <c r="AS140">
        <f t="shared" si="27"/>
        <v>41.91364866903226</v>
      </c>
      <c r="AT140">
        <f t="shared" si="28"/>
        <v>0</v>
      </c>
      <c r="AU140">
        <f t="shared" si="29"/>
        <v>0</v>
      </c>
      <c r="AV140">
        <f t="shared" si="30"/>
        <v>2.8957738798082695</v>
      </c>
      <c r="AW140">
        <f t="shared" si="31"/>
        <v>1</v>
      </c>
    </row>
    <row r="141" spans="2:49" ht="12.75">
      <c r="B141" s="3" t="s">
        <v>18</v>
      </c>
      <c r="C141">
        <v>5</v>
      </c>
      <c r="G141" s="19">
        <v>0</v>
      </c>
      <c r="H141" s="4">
        <v>0</v>
      </c>
      <c r="I141" s="4">
        <v>0</v>
      </c>
      <c r="J141" s="4">
        <v>0</v>
      </c>
      <c r="K141" s="4">
        <v>0</v>
      </c>
      <c r="L141" s="4">
        <v>0</v>
      </c>
      <c r="M141" s="4">
        <v>0</v>
      </c>
      <c r="N141" s="27">
        <v>0</v>
      </c>
      <c r="O141" s="4">
        <v>0</v>
      </c>
      <c r="P141" s="4">
        <v>1.1637845232555034E-05</v>
      </c>
      <c r="Q141" s="4">
        <v>0.018165935126841563</v>
      </c>
      <c r="R141" s="4">
        <v>3.7270957171071394E-06</v>
      </c>
      <c r="S141" s="4">
        <v>0</v>
      </c>
      <c r="T141" s="4">
        <v>0</v>
      </c>
      <c r="U141" s="4">
        <v>0</v>
      </c>
      <c r="V141" s="17">
        <v>0.00010352642578372265</v>
      </c>
      <c r="W141" s="17">
        <v>0.01828482649357495</v>
      </c>
      <c r="X141" s="18">
        <v>4.424928011445138</v>
      </c>
      <c r="Y141" s="18"/>
      <c r="Z141" s="19">
        <v>0</v>
      </c>
      <c r="AA141" s="4">
        <v>0</v>
      </c>
      <c r="AB141" s="19">
        <v>0</v>
      </c>
      <c r="AC141" s="4">
        <v>0</v>
      </c>
      <c r="AD141" s="4">
        <v>0</v>
      </c>
      <c r="AE141" s="4">
        <v>0</v>
      </c>
      <c r="AF141" s="4">
        <v>0</v>
      </c>
      <c r="AG141" s="4">
        <v>0</v>
      </c>
      <c r="AH141" s="19">
        <v>0</v>
      </c>
      <c r="AI141" s="17">
        <v>1.1423175112544296E-09</v>
      </c>
      <c r="AJ141" s="4">
        <v>0.00042543870991674463</v>
      </c>
      <c r="AK141" s="4">
        <v>3.658346213320584E-10</v>
      </c>
      <c r="AL141" s="4">
        <v>0</v>
      </c>
      <c r="AM141" s="4">
        <v>0</v>
      </c>
      <c r="AN141" s="4">
        <v>0</v>
      </c>
      <c r="AO141" s="4">
        <v>1.5810082245214752E-07</v>
      </c>
      <c r="AP141" s="6">
        <v>0.00042559831889132937</v>
      </c>
      <c r="AQ141">
        <v>0.07473744005892602</v>
      </c>
      <c r="AR141">
        <f t="shared" si="26"/>
        <v>1</v>
      </c>
      <c r="AS141">
        <f t="shared" si="27"/>
        <v>0.3307077920204437</v>
      </c>
      <c r="AT141">
        <f t="shared" si="28"/>
        <v>4.424928011445138</v>
      </c>
      <c r="AU141">
        <f t="shared" si="29"/>
        <v>5</v>
      </c>
      <c r="AV141">
        <f t="shared" si="30"/>
        <v>0</v>
      </c>
      <c r="AW141">
        <f t="shared" si="31"/>
        <v>0</v>
      </c>
    </row>
    <row r="142" spans="2:49" ht="12.75">
      <c r="B142" s="16" t="s">
        <v>19</v>
      </c>
      <c r="C142">
        <v>1</v>
      </c>
      <c r="G142" s="19">
        <v>0</v>
      </c>
      <c r="H142" s="4">
        <v>0</v>
      </c>
      <c r="I142" s="4">
        <v>0</v>
      </c>
      <c r="J142" s="4">
        <v>0</v>
      </c>
      <c r="K142" s="4">
        <v>0</v>
      </c>
      <c r="L142" s="4">
        <v>0</v>
      </c>
      <c r="M142" s="4">
        <v>0</v>
      </c>
      <c r="N142" s="27">
        <v>0</v>
      </c>
      <c r="O142" s="4">
        <v>0</v>
      </c>
      <c r="P142" s="4">
        <v>0.002776755012220743</v>
      </c>
      <c r="Q142" s="4">
        <v>7.613647605941929E-05</v>
      </c>
      <c r="R142" s="4">
        <v>0.0008892738738742953</v>
      </c>
      <c r="S142" s="4">
        <v>0</v>
      </c>
      <c r="T142" s="4">
        <v>0</v>
      </c>
      <c r="U142" s="4">
        <v>0</v>
      </c>
      <c r="V142" s="17">
        <v>0.0247010950865806</v>
      </c>
      <c r="W142" s="17">
        <v>0.028443260448735058</v>
      </c>
      <c r="X142" s="18">
        <v>6.883269028593884</v>
      </c>
      <c r="Y142" s="18"/>
      <c r="Z142" s="19">
        <v>0</v>
      </c>
      <c r="AA142" s="4">
        <v>0</v>
      </c>
      <c r="AB142" s="19">
        <v>0</v>
      </c>
      <c r="AC142" s="4">
        <v>0</v>
      </c>
      <c r="AD142" s="4">
        <v>0</v>
      </c>
      <c r="AE142" s="4">
        <v>0</v>
      </c>
      <c r="AF142" s="4">
        <v>0</v>
      </c>
      <c r="AG142" s="4">
        <v>0</v>
      </c>
      <c r="AH142" s="19">
        <v>0</v>
      </c>
      <c r="AI142" s="17">
        <v>6.503045738661307E-05</v>
      </c>
      <c r="AJ142" s="4">
        <v>7.473207291379661E-09</v>
      </c>
      <c r="AK142" s="4">
        <v>2.082642743255932E-05</v>
      </c>
      <c r="AL142" s="4">
        <v>0</v>
      </c>
      <c r="AM142" s="4">
        <v>0</v>
      </c>
      <c r="AN142" s="4">
        <v>0</v>
      </c>
      <c r="AO142" s="4">
        <v>0.009000447507779537</v>
      </c>
      <c r="AP142" s="6">
        <v>0.009086311865806001</v>
      </c>
      <c r="AQ142">
        <v>5.028548836174539</v>
      </c>
      <c r="AR142">
        <f t="shared" si="26"/>
        <v>0</v>
      </c>
      <c r="AS142">
        <f t="shared" si="27"/>
        <v>34.612854462812024</v>
      </c>
      <c r="AT142">
        <f t="shared" si="28"/>
        <v>0</v>
      </c>
      <c r="AU142">
        <f t="shared" si="29"/>
        <v>0</v>
      </c>
      <c r="AV142">
        <f t="shared" si="30"/>
        <v>5.028548836174539</v>
      </c>
      <c r="AW142">
        <f t="shared" si="31"/>
        <v>1</v>
      </c>
    </row>
    <row r="143" spans="2:49" ht="12.75">
      <c r="B143" s="16" t="s">
        <v>20</v>
      </c>
      <c r="C143">
        <v>2</v>
      </c>
      <c r="G143" s="19">
        <v>0</v>
      </c>
      <c r="H143" s="4">
        <v>0</v>
      </c>
      <c r="I143" s="4">
        <v>0</v>
      </c>
      <c r="J143" s="4">
        <v>0</v>
      </c>
      <c r="K143" s="4">
        <v>0</v>
      </c>
      <c r="L143" s="4">
        <v>0</v>
      </c>
      <c r="M143" s="4">
        <v>0</v>
      </c>
      <c r="N143" s="27">
        <v>0</v>
      </c>
      <c r="O143" s="4">
        <v>0</v>
      </c>
      <c r="P143" s="4">
        <v>1.1637845232555034E-05</v>
      </c>
      <c r="Q143" s="4">
        <v>0.018165935126841563</v>
      </c>
      <c r="R143" s="4">
        <v>3.7270957171071394E-06</v>
      </c>
      <c r="S143" s="4">
        <v>0</v>
      </c>
      <c r="T143" s="4">
        <v>0</v>
      </c>
      <c r="U143" s="4">
        <v>0</v>
      </c>
      <c r="V143" s="17">
        <v>0.00010352642578372265</v>
      </c>
      <c r="W143" s="17">
        <v>0.01828482649357495</v>
      </c>
      <c r="X143" s="18">
        <v>4.424928011445138</v>
      </c>
      <c r="Y143" s="18"/>
      <c r="Z143" s="19">
        <v>0</v>
      </c>
      <c r="AA143" s="4">
        <v>0</v>
      </c>
      <c r="AB143" s="19">
        <v>0</v>
      </c>
      <c r="AC143" s="4">
        <v>0</v>
      </c>
      <c r="AD143" s="4">
        <v>0</v>
      </c>
      <c r="AE143" s="4">
        <v>0</v>
      </c>
      <c r="AF143" s="4">
        <v>0</v>
      </c>
      <c r="AG143" s="4">
        <v>0</v>
      </c>
      <c r="AH143" s="19">
        <v>0</v>
      </c>
      <c r="AI143" s="17">
        <v>1.1423175112544296E-09</v>
      </c>
      <c r="AJ143" s="4">
        <v>0.00042543870991674463</v>
      </c>
      <c r="AK143" s="4">
        <v>3.658346213320584E-10</v>
      </c>
      <c r="AL143" s="4">
        <v>0</v>
      </c>
      <c r="AM143" s="4">
        <v>0</v>
      </c>
      <c r="AN143" s="4">
        <v>0</v>
      </c>
      <c r="AO143" s="4">
        <v>1.5810082245214752E-07</v>
      </c>
      <c r="AP143" s="6">
        <v>0.00042559831889132937</v>
      </c>
      <c r="AQ143">
        <v>1.3288975200233437</v>
      </c>
      <c r="AR143">
        <f t="shared" si="26"/>
        <v>1</v>
      </c>
      <c r="AS143">
        <f t="shared" si="27"/>
        <v>5.8802758606912695</v>
      </c>
      <c r="AT143">
        <f t="shared" si="28"/>
        <v>4.424928011445138</v>
      </c>
      <c r="AU143">
        <f t="shared" si="29"/>
        <v>2</v>
      </c>
      <c r="AV143">
        <f t="shared" si="30"/>
        <v>0</v>
      </c>
      <c r="AW143">
        <f t="shared" si="31"/>
        <v>0</v>
      </c>
    </row>
    <row r="144" spans="2:49" ht="13.5" thickBot="1">
      <c r="B144" s="12" t="s">
        <v>21</v>
      </c>
      <c r="C144">
        <v>10</v>
      </c>
      <c r="G144" s="19">
        <v>0</v>
      </c>
      <c r="H144" s="4">
        <v>0</v>
      </c>
      <c r="I144" s="4">
        <v>0</v>
      </c>
      <c r="J144" s="4">
        <v>0</v>
      </c>
      <c r="K144" s="4">
        <v>0</v>
      </c>
      <c r="L144" s="4">
        <v>0</v>
      </c>
      <c r="M144" s="4">
        <v>0</v>
      </c>
      <c r="N144" s="27">
        <v>0</v>
      </c>
      <c r="O144" s="4">
        <v>0</v>
      </c>
      <c r="P144" s="4">
        <v>0.002776755012220743</v>
      </c>
      <c r="Q144" s="4">
        <v>7.613647605941929E-05</v>
      </c>
      <c r="R144" s="4">
        <v>0.0008892738738742953</v>
      </c>
      <c r="S144" s="4">
        <v>0</v>
      </c>
      <c r="T144" s="4">
        <v>0</v>
      </c>
      <c r="U144" s="4">
        <v>0</v>
      </c>
      <c r="V144" s="17">
        <v>0.0247010950865806</v>
      </c>
      <c r="W144" s="17">
        <v>0.028443260448735058</v>
      </c>
      <c r="X144" s="18">
        <v>6.883269028593884</v>
      </c>
      <c r="Y144" s="18"/>
      <c r="Z144" s="19">
        <v>0</v>
      </c>
      <c r="AA144" s="4">
        <v>0</v>
      </c>
      <c r="AB144" s="19">
        <v>0</v>
      </c>
      <c r="AC144" s="4">
        <v>0</v>
      </c>
      <c r="AD144" s="4">
        <v>0</v>
      </c>
      <c r="AE144" s="4">
        <v>0</v>
      </c>
      <c r="AF144" s="4">
        <v>0</v>
      </c>
      <c r="AG144" s="4">
        <v>0</v>
      </c>
      <c r="AH144" s="19">
        <v>0</v>
      </c>
      <c r="AI144" s="17">
        <v>6.503045738661307E-05</v>
      </c>
      <c r="AJ144" s="4">
        <v>7.473207291379661E-09</v>
      </c>
      <c r="AK144" s="4">
        <v>2.082642743255932E-05</v>
      </c>
      <c r="AL144" s="4">
        <v>0</v>
      </c>
      <c r="AM144" s="4">
        <v>0</v>
      </c>
      <c r="AN144" s="4">
        <v>0</v>
      </c>
      <c r="AO144" s="4">
        <v>0.009000447507779537</v>
      </c>
      <c r="AP144" s="6">
        <v>0.009086311865806001</v>
      </c>
      <c r="AQ144">
        <v>1.4112497866593618</v>
      </c>
      <c r="AR144">
        <f t="shared" si="26"/>
        <v>0</v>
      </c>
      <c r="AS144">
        <f t="shared" si="27"/>
        <v>9.714011948122112</v>
      </c>
      <c r="AT144">
        <f t="shared" si="28"/>
        <v>0</v>
      </c>
      <c r="AU144">
        <f t="shared" si="29"/>
        <v>0</v>
      </c>
      <c r="AV144">
        <f t="shared" si="30"/>
        <v>1.4112497866593618</v>
      </c>
      <c r="AW144">
        <f t="shared" si="31"/>
        <v>1</v>
      </c>
    </row>
    <row r="145" spans="3:50" ht="12.75">
      <c r="C145" s="2">
        <v>242</v>
      </c>
      <c r="D145" s="2">
        <v>0</v>
      </c>
      <c r="E145" s="2">
        <v>0</v>
      </c>
      <c r="F145" s="2">
        <v>0</v>
      </c>
      <c r="G145" s="33">
        <v>0</v>
      </c>
      <c r="H145" s="2">
        <v>0</v>
      </c>
      <c r="I145" s="2">
        <v>0</v>
      </c>
      <c r="J145" s="2">
        <v>0</v>
      </c>
      <c r="K145" s="2">
        <v>0</v>
      </c>
      <c r="L145" s="2">
        <v>0</v>
      </c>
      <c r="M145" s="2">
        <v>0</v>
      </c>
      <c r="N145" s="29">
        <v>0</v>
      </c>
      <c r="O145" s="2">
        <v>0</v>
      </c>
      <c r="P145" s="2">
        <v>0.11856549542707429</v>
      </c>
      <c r="Q145" s="2">
        <v>0.7756727146366046</v>
      </c>
      <c r="R145" s="2">
        <v>0.037971371965557284</v>
      </c>
      <c r="S145" s="2">
        <v>0</v>
      </c>
      <c r="T145" s="2">
        <v>0</v>
      </c>
      <c r="U145" s="2">
        <v>0</v>
      </c>
      <c r="V145" s="32">
        <v>0.06779041797076402</v>
      </c>
      <c r="W145" s="32">
        <v>1</v>
      </c>
      <c r="X145" s="32">
        <v>242</v>
      </c>
      <c r="Y145" s="32"/>
      <c r="Z145" s="33">
        <v>0</v>
      </c>
      <c r="AA145" s="2">
        <v>0</v>
      </c>
      <c r="AB145" s="2">
        <v>0</v>
      </c>
      <c r="AC145" s="2">
        <v>0</v>
      </c>
      <c r="AD145" s="2">
        <v>0</v>
      </c>
      <c r="AE145" s="2">
        <v>0</v>
      </c>
      <c r="AF145" s="2">
        <v>0</v>
      </c>
      <c r="AG145" s="2">
        <v>0</v>
      </c>
      <c r="AH145" s="2">
        <v>0</v>
      </c>
      <c r="AI145" s="2">
        <v>0.03416340578519381</v>
      </c>
      <c r="AJ145" s="2">
        <v>0.22350196919585427</v>
      </c>
      <c r="AK145" s="2">
        <v>0.010941053162281516</v>
      </c>
      <c r="AL145" s="2">
        <v>0</v>
      </c>
      <c r="AM145" s="2">
        <v>0</v>
      </c>
      <c r="AN145" s="2">
        <v>0</v>
      </c>
      <c r="AO145" s="2">
        <v>0.019533098977413465</v>
      </c>
      <c r="AP145" s="2">
        <v>0.28813952712074303</v>
      </c>
      <c r="AQ145" s="36">
        <v>50.14989496483482</v>
      </c>
      <c r="AR145" s="36">
        <f>SUM(AR129:AR144)</f>
        <v>8</v>
      </c>
      <c r="AT145">
        <f>SUM(AT129:AT144)</f>
        <v>23.4922772442723</v>
      </c>
      <c r="AU145">
        <f>SUM(AU129:AU144)</f>
        <v>24</v>
      </c>
      <c r="AV145" s="36">
        <f>SUM(AV129:AV144)</f>
        <v>44.31475238072902</v>
      </c>
      <c r="AW145" s="36">
        <f>SUM(AW129:AW144)</f>
        <v>8</v>
      </c>
      <c r="AX145" t="s">
        <v>64</v>
      </c>
    </row>
    <row r="146" spans="13:48" ht="12.75">
      <c r="M146" s="15"/>
      <c r="N146" s="15"/>
      <c r="AQ146" t="s">
        <v>38</v>
      </c>
      <c r="AU146" s="36">
        <f>POWER(AT145-AU145,2)/AT145</f>
        <v>0.010973069745572602</v>
      </c>
      <c r="AV146" s="41">
        <f>AV145+AU146</f>
        <v>44.32572545047459</v>
      </c>
    </row>
    <row r="147" spans="5:47" ht="12.75">
      <c r="E147" t="s">
        <v>106</v>
      </c>
      <c r="F147">
        <v>0</v>
      </c>
      <c r="M147" s="15"/>
      <c r="N147" s="15"/>
      <c r="AP147" t="s">
        <v>106</v>
      </c>
      <c r="AU147" t="s">
        <v>61</v>
      </c>
    </row>
    <row r="148" spans="42:44" ht="12.75">
      <c r="AP148" t="s">
        <v>0</v>
      </c>
      <c r="AR148">
        <f>AQ145-AQ109</f>
        <v>36.75060541483201</v>
      </c>
    </row>
    <row r="149" ht="12.75">
      <c r="AR149" t="s">
        <v>55</v>
      </c>
    </row>
    <row r="150" ht="12.75">
      <c r="A150" s="10" t="s">
        <v>57</v>
      </c>
    </row>
    <row r="151" ht="12.75">
      <c r="D151" t="s">
        <v>50</v>
      </c>
    </row>
    <row r="152" ht="12.75">
      <c r="D152" s="9" t="s">
        <v>36</v>
      </c>
    </row>
    <row r="153" spans="1:2" ht="12.75">
      <c r="A153" t="s">
        <v>35</v>
      </c>
      <c r="B153" s="1">
        <v>0.1666091443573717</v>
      </c>
    </row>
    <row r="155" ht="12.75">
      <c r="E155" t="s">
        <v>49</v>
      </c>
    </row>
    <row r="156" spans="2:3" ht="12.75">
      <c r="B156" t="s">
        <v>98</v>
      </c>
      <c r="C156" s="1">
        <v>0.04868948162378618</v>
      </c>
    </row>
    <row r="157" spans="2:26" ht="12.75">
      <c r="B157" t="s">
        <v>99</v>
      </c>
      <c r="C157" s="1">
        <v>0</v>
      </c>
      <c r="Z157" s="21" t="s">
        <v>34</v>
      </c>
    </row>
    <row r="158" spans="2:3" ht="12.75">
      <c r="B158" t="s">
        <v>100</v>
      </c>
      <c r="C158" s="1">
        <v>0.2843413510776453</v>
      </c>
    </row>
    <row r="159" spans="2:42" ht="12.75">
      <c r="B159" t="s">
        <v>5</v>
      </c>
      <c r="C159" s="1">
        <v>0.1619689457143564</v>
      </c>
      <c r="G159" s="21" t="s">
        <v>107</v>
      </c>
      <c r="Z159" s="21" t="s">
        <v>101</v>
      </c>
      <c r="AP159" t="s">
        <v>108</v>
      </c>
    </row>
    <row r="160" spans="23:62" ht="12.75">
      <c r="W160" s="30" t="s">
        <v>22</v>
      </c>
      <c r="X160" s="15" t="s">
        <v>2</v>
      </c>
      <c r="AP160" t="s">
        <v>22</v>
      </c>
      <c r="AQ160" t="s">
        <v>37</v>
      </c>
      <c r="BE160" t="s">
        <v>40</v>
      </c>
      <c r="BF160" t="s">
        <v>41</v>
      </c>
      <c r="BG160" t="s">
        <v>42</v>
      </c>
      <c r="BH160" t="s">
        <v>43</v>
      </c>
      <c r="BI160" t="s">
        <v>44</v>
      </c>
      <c r="BJ160" t="s">
        <v>45</v>
      </c>
    </row>
    <row r="161" spans="5:62" ht="12.75">
      <c r="E161" s="2"/>
      <c r="F161" s="2"/>
      <c r="G161" s="37">
        <v>0.07268694639010714</v>
      </c>
      <c r="H161" s="5">
        <v>0</v>
      </c>
      <c r="I161" s="5">
        <v>0</v>
      </c>
      <c r="J161" s="5">
        <v>0</v>
      </c>
      <c r="K161" s="5">
        <v>0</v>
      </c>
      <c r="L161" s="38">
        <v>0.1874395836987272</v>
      </c>
      <c r="M161" s="38">
        <v>0</v>
      </c>
      <c r="N161" s="40">
        <v>0.7398734699111656</v>
      </c>
      <c r="O161" s="5">
        <v>0</v>
      </c>
      <c r="P161" s="5">
        <v>0</v>
      </c>
      <c r="Q161" s="5">
        <v>0</v>
      </c>
      <c r="R161" s="5">
        <v>0</v>
      </c>
      <c r="S161" s="5">
        <v>0</v>
      </c>
      <c r="T161" s="5">
        <v>0</v>
      </c>
      <c r="U161" s="5">
        <v>0</v>
      </c>
      <c r="V161" s="39">
        <v>0</v>
      </c>
      <c r="W161" s="17">
        <v>1</v>
      </c>
      <c r="X161" s="15" t="s">
        <v>97</v>
      </c>
      <c r="Z161" s="34">
        <v>0.07268694639010714</v>
      </c>
      <c r="AA161" s="8">
        <v>0</v>
      </c>
      <c r="AB161" s="8">
        <v>0</v>
      </c>
      <c r="AC161" s="8">
        <v>0</v>
      </c>
      <c r="AD161" s="8">
        <v>0</v>
      </c>
      <c r="AE161" s="8">
        <v>0.1874395836987272</v>
      </c>
      <c r="AF161" s="8">
        <v>0</v>
      </c>
      <c r="AG161" s="8">
        <v>0.7398734699111656</v>
      </c>
      <c r="AH161" s="34">
        <v>0</v>
      </c>
      <c r="AI161" s="35">
        <v>0</v>
      </c>
      <c r="AJ161" s="8">
        <v>0</v>
      </c>
      <c r="AK161" s="8">
        <v>0</v>
      </c>
      <c r="AL161" s="8">
        <v>0</v>
      </c>
      <c r="AM161" s="8">
        <v>0</v>
      </c>
      <c r="AN161" s="8">
        <v>0</v>
      </c>
      <c r="AO161" s="8">
        <v>0</v>
      </c>
      <c r="AP161" s="6">
        <v>1</v>
      </c>
      <c r="AX161" s="53" t="s">
        <v>90</v>
      </c>
      <c r="AY161" s="53" t="s">
        <v>91</v>
      </c>
      <c r="AZ161" s="53"/>
      <c r="BE161" s="16" t="s">
        <v>6</v>
      </c>
      <c r="BF161">
        <v>6</v>
      </c>
      <c r="BG161" t="s">
        <v>39</v>
      </c>
      <c r="BH161" t="s">
        <v>39</v>
      </c>
      <c r="BI161" t="s">
        <v>39</v>
      </c>
      <c r="BJ161" t="s">
        <v>39</v>
      </c>
    </row>
    <row r="162" spans="2:62" ht="12.75">
      <c r="B162" t="s">
        <v>1</v>
      </c>
      <c r="C162" t="s">
        <v>102</v>
      </c>
      <c r="D162" t="s">
        <v>103</v>
      </c>
      <c r="E162" t="s">
        <v>104</v>
      </c>
      <c r="F162" t="s">
        <v>105</v>
      </c>
      <c r="G162" s="23" t="s">
        <v>6</v>
      </c>
      <c r="H162" s="7" t="s">
        <v>8</v>
      </c>
      <c r="I162" s="7" t="s">
        <v>9</v>
      </c>
      <c r="J162" s="7" t="s">
        <v>10</v>
      </c>
      <c r="K162" s="7" t="s">
        <v>11</v>
      </c>
      <c r="L162" s="7" t="s">
        <v>12</v>
      </c>
      <c r="M162" s="7" t="s">
        <v>13</v>
      </c>
      <c r="N162" s="26" t="s">
        <v>14</v>
      </c>
      <c r="O162" s="7" t="s">
        <v>7</v>
      </c>
      <c r="P162" s="7" t="s">
        <v>15</v>
      </c>
      <c r="Q162" s="7" t="s">
        <v>16</v>
      </c>
      <c r="R162" s="7" t="s">
        <v>17</v>
      </c>
      <c r="S162" s="7" t="s">
        <v>18</v>
      </c>
      <c r="T162" s="7" t="s">
        <v>19</v>
      </c>
      <c r="U162" s="7" t="s">
        <v>20</v>
      </c>
      <c r="V162" s="31" t="s">
        <v>21</v>
      </c>
      <c r="W162" s="31"/>
      <c r="Z162" s="23" t="s">
        <v>6</v>
      </c>
      <c r="AA162" s="7" t="s">
        <v>8</v>
      </c>
      <c r="AB162" s="7" t="s">
        <v>9</v>
      </c>
      <c r="AC162" s="7" t="s">
        <v>10</v>
      </c>
      <c r="AD162" s="7" t="s">
        <v>11</v>
      </c>
      <c r="AE162" s="7" t="s">
        <v>12</v>
      </c>
      <c r="AF162" s="7" t="s">
        <v>13</v>
      </c>
      <c r="AG162" s="26" t="s">
        <v>14</v>
      </c>
      <c r="AH162" s="7" t="s">
        <v>7</v>
      </c>
      <c r="AI162" s="7" t="s">
        <v>15</v>
      </c>
      <c r="AJ162" s="7" t="s">
        <v>16</v>
      </c>
      <c r="AK162" s="7" t="s">
        <v>17</v>
      </c>
      <c r="AL162" s="7" t="s">
        <v>18</v>
      </c>
      <c r="AM162" s="7" t="s">
        <v>19</v>
      </c>
      <c r="AN162" s="7" t="s">
        <v>20</v>
      </c>
      <c r="AO162" s="31" t="s">
        <v>21</v>
      </c>
      <c r="AP162" s="6"/>
      <c r="AR162" t="s">
        <v>58</v>
      </c>
      <c r="AS162" t="s">
        <v>59</v>
      </c>
      <c r="AT162" t="s">
        <v>60</v>
      </c>
      <c r="AU162" t="s">
        <v>62</v>
      </c>
      <c r="AW162" t="s">
        <v>63</v>
      </c>
      <c r="AX162" s="53"/>
      <c r="AY162" s="53"/>
      <c r="AZ162" s="53"/>
      <c r="BE162" s="16" t="s">
        <v>8</v>
      </c>
      <c r="BF162">
        <v>5</v>
      </c>
      <c r="BG162" t="s">
        <v>39</v>
      </c>
      <c r="BH162" t="s">
        <v>39</v>
      </c>
      <c r="BI162" t="s">
        <v>46</v>
      </c>
      <c r="BJ162" t="s">
        <v>39</v>
      </c>
    </row>
    <row r="163" spans="2:62" ht="12.75">
      <c r="B163" s="16" t="s">
        <v>6</v>
      </c>
      <c r="C163">
        <v>6</v>
      </c>
      <c r="G163" s="19">
        <v>0.041471024036360576</v>
      </c>
      <c r="H163" s="4">
        <v>0</v>
      </c>
      <c r="I163" s="4">
        <v>0</v>
      </c>
      <c r="J163" s="4">
        <v>0</v>
      </c>
      <c r="K163" s="4">
        <v>0</v>
      </c>
      <c r="L163" s="4">
        <v>0.002174686191109791</v>
      </c>
      <c r="M163" s="4">
        <v>0</v>
      </c>
      <c r="N163" s="27">
        <v>0</v>
      </c>
      <c r="O163" s="4">
        <v>0</v>
      </c>
      <c r="P163" s="4">
        <v>0</v>
      </c>
      <c r="Q163" s="4">
        <v>0</v>
      </c>
      <c r="R163" s="4">
        <v>0</v>
      </c>
      <c r="S163" s="4">
        <v>0</v>
      </c>
      <c r="T163" s="4">
        <v>0</v>
      </c>
      <c r="U163" s="4">
        <v>0</v>
      </c>
      <c r="V163" s="17">
        <v>0</v>
      </c>
      <c r="W163" s="17">
        <v>0.043645710227470366</v>
      </c>
      <c r="X163" s="51">
        <v>10.56226187504783</v>
      </c>
      <c r="Y163" s="18"/>
      <c r="Z163" s="19">
        <v>0.023660999946181142</v>
      </c>
      <c r="AA163" s="4">
        <v>0</v>
      </c>
      <c r="AB163" s="4">
        <v>0</v>
      </c>
      <c r="AC163" s="4">
        <v>0</v>
      </c>
      <c r="AD163" s="4">
        <v>0</v>
      </c>
      <c r="AE163" s="4">
        <v>2.5230850050355315E-05</v>
      </c>
      <c r="AF163" s="4">
        <v>0</v>
      </c>
      <c r="AG163" s="4">
        <v>0</v>
      </c>
      <c r="AH163" s="19">
        <v>0</v>
      </c>
      <c r="AI163" s="17">
        <v>0</v>
      </c>
      <c r="AJ163" s="4">
        <v>0</v>
      </c>
      <c r="AK163" s="4">
        <v>0</v>
      </c>
      <c r="AL163" s="4">
        <v>0</v>
      </c>
      <c r="AM163" s="4">
        <v>0</v>
      </c>
      <c r="AN163" s="4">
        <v>0</v>
      </c>
      <c r="AO163" s="4">
        <v>0</v>
      </c>
      <c r="AP163" s="6">
        <v>0.023686230796231496</v>
      </c>
      <c r="AQ163">
        <v>1.9706227380790708</v>
      </c>
      <c r="AR163">
        <f>IF(X163&lt;4,1,0)</f>
        <v>0</v>
      </c>
      <c r="AS163">
        <f>POWER(C163-X163,2)</f>
        <v>20.814233416514934</v>
      </c>
      <c r="AT163">
        <f>AR163*X163</f>
        <v>0</v>
      </c>
      <c r="AU163">
        <f>IF(AR163=1,C163,0)</f>
        <v>0</v>
      </c>
      <c r="AV163">
        <f>IF(AR163=0,AQ163,0)</f>
        <v>1.9706227380790708</v>
      </c>
      <c r="AW163">
        <f>IF(AV163&gt;0.00001,1,0)</f>
        <v>1</v>
      </c>
      <c r="AX163" s="53">
        <f>100*(C167+C168+C169+C170+C175+C176+C177+C178)/C179</f>
        <v>90.08264462809917</v>
      </c>
      <c r="AY163" s="53">
        <f>100*(X167+X168+X169+X170+X175+X176+X177+X178)/X179</f>
        <v>88.57017514672071</v>
      </c>
      <c r="AZ163" s="53" t="s">
        <v>93</v>
      </c>
      <c r="BE163" s="16" t="s">
        <v>9</v>
      </c>
      <c r="BF163">
        <v>2</v>
      </c>
      <c r="BG163" t="s">
        <v>39</v>
      </c>
      <c r="BH163" t="s">
        <v>46</v>
      </c>
      <c r="BI163" t="s">
        <v>39</v>
      </c>
      <c r="BJ163" t="s">
        <v>39</v>
      </c>
    </row>
    <row r="164" spans="2:62" ht="12.75">
      <c r="B164" s="16" t="s">
        <v>8</v>
      </c>
      <c r="C164">
        <v>5</v>
      </c>
      <c r="G164" s="19">
        <v>0.01647702717326013</v>
      </c>
      <c r="H164" s="4">
        <v>0</v>
      </c>
      <c r="I164" s="4">
        <v>0</v>
      </c>
      <c r="J164" s="4">
        <v>0</v>
      </c>
      <c r="K164" s="4">
        <v>0</v>
      </c>
      <c r="L164" s="4">
        <v>0.005473466927906471</v>
      </c>
      <c r="M164" s="4">
        <v>0</v>
      </c>
      <c r="N164" s="27">
        <v>0</v>
      </c>
      <c r="O164" s="4">
        <v>0</v>
      </c>
      <c r="P164" s="4">
        <v>0</v>
      </c>
      <c r="Q164" s="4">
        <v>0</v>
      </c>
      <c r="R164" s="4">
        <v>0</v>
      </c>
      <c r="S164" s="4">
        <v>0</v>
      </c>
      <c r="T164" s="4">
        <v>0</v>
      </c>
      <c r="U164" s="4">
        <v>0</v>
      </c>
      <c r="V164" s="17">
        <v>0</v>
      </c>
      <c r="W164" s="17">
        <v>0.0219504941011666</v>
      </c>
      <c r="X164" s="51">
        <v>5.312019572482317</v>
      </c>
      <c r="Y164" s="18"/>
      <c r="Z164" s="19">
        <v>0.0037350918968485306</v>
      </c>
      <c r="AA164" s="4">
        <v>0</v>
      </c>
      <c r="AB164" s="4">
        <v>0</v>
      </c>
      <c r="AC164" s="4">
        <v>0</v>
      </c>
      <c r="AD164" s="4">
        <v>0</v>
      </c>
      <c r="AE164" s="4">
        <v>0.00015983198222974573</v>
      </c>
      <c r="AF164" s="4">
        <v>0</v>
      </c>
      <c r="AG164" s="4">
        <v>0</v>
      </c>
      <c r="AH164" s="19">
        <v>0</v>
      </c>
      <c r="AI164" s="17">
        <v>0</v>
      </c>
      <c r="AJ164" s="4">
        <v>0</v>
      </c>
      <c r="AK164" s="4">
        <v>0</v>
      </c>
      <c r="AL164" s="4">
        <v>0</v>
      </c>
      <c r="AM164" s="4">
        <v>0</v>
      </c>
      <c r="AN164" s="4">
        <v>0</v>
      </c>
      <c r="AO164" s="4">
        <v>0</v>
      </c>
      <c r="AP164" s="6">
        <v>0.0038949238790782765</v>
      </c>
      <c r="AQ164">
        <v>0.018327532924836923</v>
      </c>
      <c r="AR164">
        <f aca="true" t="shared" si="32" ref="AR164:AR178">IF(X164&lt;4,1,0)</f>
        <v>0</v>
      </c>
      <c r="AS164">
        <f aca="true" t="shared" si="33" ref="AS164:AS178">POWER(C164-X164,2)</f>
        <v>0.09735621361204783</v>
      </c>
      <c r="AT164">
        <f aca="true" t="shared" si="34" ref="AT164:AT178">AR164*X164</f>
        <v>0</v>
      </c>
      <c r="AU164">
        <f aca="true" t="shared" si="35" ref="AU164:AU178">IF(AR164=1,C164,0)</f>
        <v>0</v>
      </c>
      <c r="AV164">
        <f aca="true" t="shared" si="36" ref="AV164:AV178">IF(AR164=0,AQ164,0)</f>
        <v>0.018327532924836923</v>
      </c>
      <c r="AW164">
        <f aca="true" t="shared" si="37" ref="AW164:AW178">IF(AV164&gt;0.00001,1,0)</f>
        <v>1</v>
      </c>
      <c r="AX164" s="53">
        <f>100*(C165+C166+C169+C170+C173+C174+C177+C178)/C179</f>
        <v>75.20661157024793</v>
      </c>
      <c r="AY164" s="53">
        <f>100*(X165+X166+X169+X170+X173+X174+X177+X178)/X179</f>
        <v>73.98734699111657</v>
      </c>
      <c r="AZ164" s="53" t="s">
        <v>94</v>
      </c>
      <c r="BE164" s="16" t="s">
        <v>10</v>
      </c>
      <c r="BF164">
        <v>3</v>
      </c>
      <c r="BG164" t="s">
        <v>39</v>
      </c>
      <c r="BH164" t="s">
        <v>46</v>
      </c>
      <c r="BI164" t="s">
        <v>46</v>
      </c>
      <c r="BJ164" t="s">
        <v>39</v>
      </c>
    </row>
    <row r="165" spans="2:62" ht="12.75">
      <c r="B165" s="16" t="s">
        <v>9</v>
      </c>
      <c r="C165">
        <v>2</v>
      </c>
      <c r="G165" s="19">
        <v>0</v>
      </c>
      <c r="H165" s="4">
        <v>0</v>
      </c>
      <c r="I165" s="4">
        <v>0</v>
      </c>
      <c r="J165" s="4">
        <v>0</v>
      </c>
      <c r="K165" s="4">
        <v>0</v>
      </c>
      <c r="L165" s="4">
        <v>0</v>
      </c>
      <c r="M165" s="4">
        <v>0</v>
      </c>
      <c r="N165" s="27">
        <v>0.008584059921784936</v>
      </c>
      <c r="O165" s="4">
        <v>0</v>
      </c>
      <c r="P165" s="4">
        <v>0</v>
      </c>
      <c r="Q165" s="4">
        <v>0</v>
      </c>
      <c r="R165" s="4">
        <v>0</v>
      </c>
      <c r="S165" s="4">
        <v>0</v>
      </c>
      <c r="T165" s="4">
        <v>0</v>
      </c>
      <c r="U165" s="4">
        <v>0</v>
      </c>
      <c r="V165" s="17">
        <v>0</v>
      </c>
      <c r="W165" s="17">
        <v>0.008584059921784936</v>
      </c>
      <c r="X165" s="51">
        <v>2.0773425010719544</v>
      </c>
      <c r="Y165" s="18"/>
      <c r="Z165" s="19">
        <v>0</v>
      </c>
      <c r="AA165" s="4">
        <v>0</v>
      </c>
      <c r="AB165" s="4">
        <v>0</v>
      </c>
      <c r="AC165" s="4">
        <v>0</v>
      </c>
      <c r="AD165" s="4">
        <v>0</v>
      </c>
      <c r="AE165" s="4">
        <v>0</v>
      </c>
      <c r="AF165" s="4">
        <v>0</v>
      </c>
      <c r="AG165" s="4">
        <v>9.959281922845765E-05</v>
      </c>
      <c r="AH165" s="19">
        <v>0</v>
      </c>
      <c r="AI165" s="17">
        <v>0</v>
      </c>
      <c r="AJ165" s="4">
        <v>0</v>
      </c>
      <c r="AK165" s="4">
        <v>0</v>
      </c>
      <c r="AL165" s="4">
        <v>0</v>
      </c>
      <c r="AM165" s="4">
        <v>0</v>
      </c>
      <c r="AN165" s="4">
        <v>0</v>
      </c>
      <c r="AO165" s="4">
        <v>0</v>
      </c>
      <c r="AP165" s="6">
        <v>9.959281922845765E-05</v>
      </c>
      <c r="AQ165">
        <v>0.002879574489511717</v>
      </c>
      <c r="AR165">
        <f t="shared" si="32"/>
        <v>1</v>
      </c>
      <c r="AS165">
        <f t="shared" si="33"/>
        <v>0.005981862472065266</v>
      </c>
      <c r="AT165">
        <f t="shared" si="34"/>
        <v>2.0773425010719544</v>
      </c>
      <c r="AU165">
        <f t="shared" si="35"/>
        <v>2</v>
      </c>
      <c r="AV165">
        <f t="shared" si="36"/>
        <v>0</v>
      </c>
      <c r="AW165">
        <f t="shared" si="37"/>
        <v>0</v>
      </c>
      <c r="AX165" s="53">
        <f>100*(C164+C166+C168+C170+C172+C174+C176+C178)/C179</f>
        <v>70.66115702479338</v>
      </c>
      <c r="AY165" s="53">
        <f>100*(X164+X166+X168+X170+X172+X174+X176+X178)/X179</f>
        <v>68.43075116167904</v>
      </c>
      <c r="AZ165" s="53" t="s">
        <v>95</v>
      </c>
      <c r="BE165" s="3" t="s">
        <v>11</v>
      </c>
      <c r="BF165">
        <v>12</v>
      </c>
      <c r="BG165" t="s">
        <v>46</v>
      </c>
      <c r="BH165" t="s">
        <v>39</v>
      </c>
      <c r="BI165" t="s">
        <v>39</v>
      </c>
      <c r="BJ165" t="s">
        <v>39</v>
      </c>
    </row>
    <row r="166" spans="2:62" ht="12.75">
      <c r="B166" s="16" t="s">
        <v>10</v>
      </c>
      <c r="C166">
        <v>3</v>
      </c>
      <c r="G166" s="19">
        <v>0</v>
      </c>
      <c r="H166" s="4">
        <v>0</v>
      </c>
      <c r="I166" s="4">
        <v>0</v>
      </c>
      <c r="J166" s="4">
        <v>0</v>
      </c>
      <c r="K166" s="4">
        <v>0</v>
      </c>
      <c r="L166" s="4">
        <v>0</v>
      </c>
      <c r="M166" s="4">
        <v>0</v>
      </c>
      <c r="N166" s="27">
        <v>0.02160521747051697</v>
      </c>
      <c r="O166" s="4">
        <v>0</v>
      </c>
      <c r="P166" s="4">
        <v>0</v>
      </c>
      <c r="Q166" s="4">
        <v>0</v>
      </c>
      <c r="R166" s="4">
        <v>0</v>
      </c>
      <c r="S166" s="4">
        <v>0</v>
      </c>
      <c r="T166" s="4">
        <v>0</v>
      </c>
      <c r="U166" s="4">
        <v>0</v>
      </c>
      <c r="V166" s="17">
        <v>0</v>
      </c>
      <c r="W166" s="17">
        <v>0.02160521747051697</v>
      </c>
      <c r="X166" s="51">
        <v>5.228462627865106</v>
      </c>
      <c r="Y166" s="18"/>
      <c r="Z166" s="19">
        <v>0</v>
      </c>
      <c r="AA166" s="4">
        <v>0</v>
      </c>
      <c r="AB166" s="4">
        <v>0</v>
      </c>
      <c r="AC166" s="4">
        <v>0</v>
      </c>
      <c r="AD166" s="4">
        <v>0</v>
      </c>
      <c r="AE166" s="4">
        <v>0</v>
      </c>
      <c r="AF166" s="4">
        <v>0</v>
      </c>
      <c r="AG166" s="4">
        <v>0.000630898986017673</v>
      </c>
      <c r="AH166" s="19">
        <v>0</v>
      </c>
      <c r="AI166" s="17">
        <v>0</v>
      </c>
      <c r="AJ166" s="4">
        <v>0</v>
      </c>
      <c r="AK166" s="4">
        <v>0</v>
      </c>
      <c r="AL166" s="4">
        <v>0</v>
      </c>
      <c r="AM166" s="4">
        <v>0</v>
      </c>
      <c r="AN166" s="4">
        <v>0</v>
      </c>
      <c r="AO166" s="4">
        <v>0</v>
      </c>
      <c r="AP166" s="6">
        <v>0.000630898986017673</v>
      </c>
      <c r="AQ166">
        <v>0.9498099225812383</v>
      </c>
      <c r="AR166">
        <f t="shared" si="32"/>
        <v>0</v>
      </c>
      <c r="AS166">
        <f t="shared" si="33"/>
        <v>4.966045683791454</v>
      </c>
      <c r="AT166">
        <f t="shared" si="34"/>
        <v>0</v>
      </c>
      <c r="AU166">
        <f t="shared" si="35"/>
        <v>0</v>
      </c>
      <c r="AV166">
        <f t="shared" si="36"/>
        <v>0.9498099225812383</v>
      </c>
      <c r="AW166">
        <f t="shared" si="37"/>
        <v>1</v>
      </c>
      <c r="AX166" s="53">
        <f>100*(C171+C172+C173+C174+C175+C176+C177+C178)/C179</f>
        <v>14.462809917355372</v>
      </c>
      <c r="AY166" s="53">
        <f>100*(X171+X172+X173+X174+X175+X176+X177+X178)/X179</f>
        <v>16.19689457143564</v>
      </c>
      <c r="AZ166" s="53" t="s">
        <v>96</v>
      </c>
      <c r="BE166" s="16" t="s">
        <v>12</v>
      </c>
      <c r="BF166">
        <v>25</v>
      </c>
      <c r="BG166" t="s">
        <v>46</v>
      </c>
      <c r="BH166" t="s">
        <v>39</v>
      </c>
      <c r="BI166" t="s">
        <v>46</v>
      </c>
      <c r="BJ166" t="s">
        <v>39</v>
      </c>
    </row>
    <row r="167" spans="2:62" ht="12.75">
      <c r="B167" s="3" t="s">
        <v>11</v>
      </c>
      <c r="C167">
        <v>12</v>
      </c>
      <c r="G167" s="19">
        <v>0.0021225484463101895</v>
      </c>
      <c r="H167" s="4">
        <v>0</v>
      </c>
      <c r="I167" s="4">
        <v>0</v>
      </c>
      <c r="J167" s="4">
        <v>0</v>
      </c>
      <c r="K167" s="4">
        <v>0</v>
      </c>
      <c r="L167" s="4">
        <v>0.042489707813187755</v>
      </c>
      <c r="M167" s="4">
        <v>0</v>
      </c>
      <c r="N167" s="27">
        <v>0</v>
      </c>
      <c r="O167" s="4">
        <v>0</v>
      </c>
      <c r="P167" s="4">
        <v>0</v>
      </c>
      <c r="Q167" s="4">
        <v>0</v>
      </c>
      <c r="R167" s="4">
        <v>0</v>
      </c>
      <c r="S167" s="4">
        <v>0</v>
      </c>
      <c r="T167" s="4">
        <v>0</v>
      </c>
      <c r="U167" s="4">
        <v>0</v>
      </c>
      <c r="V167" s="17">
        <v>0</v>
      </c>
      <c r="W167" s="17">
        <v>0.04461225625949795</v>
      </c>
      <c r="X167" s="51">
        <v>10.796166014798503</v>
      </c>
      <c r="Y167" s="18"/>
      <c r="Z167" s="19">
        <v>6.198103140493145E-05</v>
      </c>
      <c r="AA167" s="4">
        <v>0</v>
      </c>
      <c r="AB167" s="4">
        <v>0</v>
      </c>
      <c r="AC167" s="4">
        <v>0</v>
      </c>
      <c r="AD167" s="4">
        <v>0</v>
      </c>
      <c r="AE167" s="4">
        <v>0.009631771659031526</v>
      </c>
      <c r="AF167" s="4">
        <v>0</v>
      </c>
      <c r="AG167" s="4">
        <v>0</v>
      </c>
      <c r="AH167" s="19">
        <v>0</v>
      </c>
      <c r="AI167" s="17">
        <v>0</v>
      </c>
      <c r="AJ167" s="4">
        <v>0</v>
      </c>
      <c r="AK167" s="4">
        <v>0</v>
      </c>
      <c r="AL167" s="4">
        <v>0</v>
      </c>
      <c r="AM167" s="4">
        <v>0</v>
      </c>
      <c r="AN167" s="4">
        <v>0</v>
      </c>
      <c r="AO167" s="4">
        <v>0</v>
      </c>
      <c r="AP167" s="6">
        <v>0.009693752690436458</v>
      </c>
      <c r="AQ167">
        <v>0.1342343441124979</v>
      </c>
      <c r="AR167">
        <f t="shared" si="32"/>
        <v>0</v>
      </c>
      <c r="AS167">
        <f t="shared" si="33"/>
        <v>1.4492162639261175</v>
      </c>
      <c r="AT167">
        <f t="shared" si="34"/>
        <v>0</v>
      </c>
      <c r="AU167">
        <f t="shared" si="35"/>
        <v>0</v>
      </c>
      <c r="AV167">
        <f t="shared" si="36"/>
        <v>0.1342343441124979</v>
      </c>
      <c r="AW167">
        <f t="shared" si="37"/>
        <v>1</v>
      </c>
      <c r="BE167" s="16" t="s">
        <v>13</v>
      </c>
      <c r="BF167">
        <v>39</v>
      </c>
      <c r="BG167" t="s">
        <v>46</v>
      </c>
      <c r="BH167" t="s">
        <v>46</v>
      </c>
      <c r="BI167" t="s">
        <v>39</v>
      </c>
      <c r="BJ167" t="s">
        <v>39</v>
      </c>
    </row>
    <row r="168" spans="1:62" ht="13.5" thickBot="1">
      <c r="A168" s="15"/>
      <c r="B168" s="16" t="s">
        <v>12</v>
      </c>
      <c r="C168">
        <v>25</v>
      </c>
      <c r="G168" s="19">
        <v>0.000843318660174644</v>
      </c>
      <c r="H168" s="17">
        <v>0</v>
      </c>
      <c r="I168" s="17">
        <v>0</v>
      </c>
      <c r="J168" s="17">
        <v>0</v>
      </c>
      <c r="K168" s="17">
        <v>0</v>
      </c>
      <c r="L168" s="17">
        <v>0.10694233100970248</v>
      </c>
      <c r="M168" s="17">
        <v>0</v>
      </c>
      <c r="N168" s="27">
        <v>0</v>
      </c>
      <c r="O168" s="17">
        <v>0</v>
      </c>
      <c r="P168" s="17">
        <v>0</v>
      </c>
      <c r="Q168" s="17">
        <v>0</v>
      </c>
      <c r="R168" s="17">
        <v>0</v>
      </c>
      <c r="S168" s="17">
        <v>0</v>
      </c>
      <c r="T168" s="17">
        <v>0</v>
      </c>
      <c r="U168" s="17">
        <v>0</v>
      </c>
      <c r="V168" s="17">
        <v>0</v>
      </c>
      <c r="W168" s="17">
        <v>0.10778564966987712</v>
      </c>
      <c r="X168" s="51">
        <v>26.084127220110265</v>
      </c>
      <c r="Y168" s="18"/>
      <c r="Z168" s="19">
        <v>9.784237719684298E-06</v>
      </c>
      <c r="AA168" s="4">
        <v>0</v>
      </c>
      <c r="AB168" s="4">
        <v>0</v>
      </c>
      <c r="AC168" s="17">
        <v>0</v>
      </c>
      <c r="AD168" s="17">
        <v>0</v>
      </c>
      <c r="AE168" s="17">
        <v>0.06101519186134658</v>
      </c>
      <c r="AF168" s="17">
        <v>0</v>
      </c>
      <c r="AG168" s="17">
        <v>0</v>
      </c>
      <c r="AH168" s="19">
        <v>0</v>
      </c>
      <c r="AI168" s="17">
        <v>0</v>
      </c>
      <c r="AJ168" s="17">
        <v>0</v>
      </c>
      <c r="AK168" s="17">
        <v>0</v>
      </c>
      <c r="AL168" s="17">
        <v>0</v>
      </c>
      <c r="AM168" s="17">
        <v>0</v>
      </c>
      <c r="AN168" s="17">
        <v>0</v>
      </c>
      <c r="AO168" s="17">
        <v>0</v>
      </c>
      <c r="AP168" s="6">
        <v>0.061024976099066264</v>
      </c>
      <c r="AQ168">
        <v>0.04505927376699254</v>
      </c>
      <c r="AR168">
        <f t="shared" si="32"/>
        <v>0</v>
      </c>
      <c r="AS168">
        <f t="shared" si="33"/>
        <v>1.1753318293840105</v>
      </c>
      <c r="AT168">
        <f t="shared" si="34"/>
        <v>0</v>
      </c>
      <c r="AU168">
        <f t="shared" si="35"/>
        <v>0</v>
      </c>
      <c r="AV168">
        <f t="shared" si="36"/>
        <v>0.04505927376699254</v>
      </c>
      <c r="AW168">
        <f t="shared" si="37"/>
        <v>1</v>
      </c>
      <c r="AX168" s="15"/>
      <c r="BE168" s="12" t="s">
        <v>14</v>
      </c>
      <c r="BF168">
        <v>115</v>
      </c>
      <c r="BG168" t="s">
        <v>46</v>
      </c>
      <c r="BH168" t="s">
        <v>46</v>
      </c>
      <c r="BI168" t="s">
        <v>46</v>
      </c>
      <c r="BJ168" t="s">
        <v>39</v>
      </c>
    </row>
    <row r="169" spans="1:62" ht="12.75">
      <c r="A169" s="15"/>
      <c r="B169" s="16" t="s">
        <v>13</v>
      </c>
      <c r="C169">
        <v>39</v>
      </c>
      <c r="G169" s="19">
        <v>0</v>
      </c>
      <c r="H169" s="17">
        <v>0</v>
      </c>
      <c r="I169" s="17">
        <v>0</v>
      </c>
      <c r="J169" s="17">
        <v>0</v>
      </c>
      <c r="K169" s="17">
        <v>0</v>
      </c>
      <c r="L169" s="17">
        <v>0</v>
      </c>
      <c r="M169" s="17">
        <v>0</v>
      </c>
      <c r="N169" s="27">
        <v>0.16771808246108616</v>
      </c>
      <c r="O169" s="17">
        <v>0</v>
      </c>
      <c r="P169" s="17">
        <v>0</v>
      </c>
      <c r="Q169" s="17">
        <v>0</v>
      </c>
      <c r="R169" s="17">
        <v>0</v>
      </c>
      <c r="S169" s="17">
        <v>0</v>
      </c>
      <c r="T169" s="17">
        <v>0</v>
      </c>
      <c r="U169" s="17">
        <v>0</v>
      </c>
      <c r="V169" s="17">
        <v>0</v>
      </c>
      <c r="W169" s="17">
        <v>0.16771808246108616</v>
      </c>
      <c r="X169" s="51">
        <v>40.58777595558285</v>
      </c>
      <c r="Y169" s="18"/>
      <c r="Z169" s="19">
        <v>0</v>
      </c>
      <c r="AA169" s="4">
        <v>0</v>
      </c>
      <c r="AB169" s="4">
        <v>0</v>
      </c>
      <c r="AC169" s="17">
        <v>0</v>
      </c>
      <c r="AD169" s="17">
        <v>0</v>
      </c>
      <c r="AE169" s="17">
        <v>0</v>
      </c>
      <c r="AF169" s="17">
        <v>0</v>
      </c>
      <c r="AG169" s="17">
        <v>0.03801914290534178</v>
      </c>
      <c r="AH169" s="19">
        <v>0</v>
      </c>
      <c r="AI169" s="17">
        <v>0</v>
      </c>
      <c r="AJ169" s="17">
        <v>0</v>
      </c>
      <c r="AK169" s="17">
        <v>0</v>
      </c>
      <c r="AL169" s="17">
        <v>0</v>
      </c>
      <c r="AM169" s="17">
        <v>0</v>
      </c>
      <c r="AN169" s="17">
        <v>0</v>
      </c>
      <c r="AO169" s="17">
        <v>0</v>
      </c>
      <c r="AP169" s="6">
        <v>0.03801914290534178</v>
      </c>
      <c r="AQ169">
        <v>0.06211309749728381</v>
      </c>
      <c r="AR169">
        <f t="shared" si="32"/>
        <v>0</v>
      </c>
      <c r="AS169">
        <f t="shared" si="33"/>
        <v>2.521032485127029</v>
      </c>
      <c r="AT169">
        <f t="shared" si="34"/>
        <v>0</v>
      </c>
      <c r="AU169">
        <f t="shared" si="35"/>
        <v>0</v>
      </c>
      <c r="AV169">
        <f t="shared" si="36"/>
        <v>0.06211309749728381</v>
      </c>
      <c r="AW169">
        <f t="shared" si="37"/>
        <v>1</v>
      </c>
      <c r="AX169" s="15"/>
      <c r="BE169" s="3" t="s">
        <v>7</v>
      </c>
      <c r="BF169">
        <v>3</v>
      </c>
      <c r="BG169" t="s">
        <v>39</v>
      </c>
      <c r="BH169" t="s">
        <v>39</v>
      </c>
      <c r="BI169" t="s">
        <v>39</v>
      </c>
      <c r="BJ169" t="s">
        <v>46</v>
      </c>
    </row>
    <row r="170" spans="1:62" ht="13.5" thickBot="1">
      <c r="A170" s="11" t="s">
        <v>4</v>
      </c>
      <c r="B170" s="12" t="s">
        <v>14</v>
      </c>
      <c r="C170">
        <v>115</v>
      </c>
      <c r="G170" s="20">
        <v>0</v>
      </c>
      <c r="H170" s="13">
        <v>0</v>
      </c>
      <c r="I170" s="13">
        <v>0</v>
      </c>
      <c r="J170" s="13">
        <v>0</v>
      </c>
      <c r="K170" s="13">
        <v>0</v>
      </c>
      <c r="L170" s="13">
        <v>0</v>
      </c>
      <c r="M170" s="13">
        <v>0</v>
      </c>
      <c r="N170" s="28">
        <v>0.42212958417424346</v>
      </c>
      <c r="O170" s="13">
        <v>0</v>
      </c>
      <c r="P170" s="13">
        <v>0</v>
      </c>
      <c r="Q170" s="13">
        <v>0</v>
      </c>
      <c r="R170" s="13">
        <v>0</v>
      </c>
      <c r="S170" s="13">
        <v>0</v>
      </c>
      <c r="T170" s="13">
        <v>0</v>
      </c>
      <c r="U170" s="13">
        <v>0</v>
      </c>
      <c r="V170" s="13">
        <v>0</v>
      </c>
      <c r="W170" s="13">
        <v>0.42212958417424346</v>
      </c>
      <c r="X170" s="52">
        <v>102.15535937016692</v>
      </c>
      <c r="Y170" s="14"/>
      <c r="Z170" s="20">
        <v>0</v>
      </c>
      <c r="AA170" s="13">
        <v>0</v>
      </c>
      <c r="AB170" s="13">
        <v>0</v>
      </c>
      <c r="AC170" s="13">
        <v>0</v>
      </c>
      <c r="AD170" s="13">
        <v>0</v>
      </c>
      <c r="AE170" s="13">
        <v>0</v>
      </c>
      <c r="AF170" s="13">
        <v>0</v>
      </c>
      <c r="AG170" s="13">
        <v>0.24084305368661868</v>
      </c>
      <c r="AH170" s="20">
        <v>0</v>
      </c>
      <c r="AI170" s="13">
        <v>0</v>
      </c>
      <c r="AJ170" s="13">
        <v>0</v>
      </c>
      <c r="AK170" s="13">
        <v>0</v>
      </c>
      <c r="AL170" s="13">
        <v>0</v>
      </c>
      <c r="AM170" s="13">
        <v>0</v>
      </c>
      <c r="AN170" s="13">
        <v>0</v>
      </c>
      <c r="AO170" s="13">
        <v>0</v>
      </c>
      <c r="AP170" s="6">
        <v>0.24084305368661868</v>
      </c>
      <c r="AQ170">
        <v>1.6150380550444257</v>
      </c>
      <c r="AR170">
        <f t="shared" si="32"/>
        <v>0</v>
      </c>
      <c r="AS170">
        <f t="shared" si="33"/>
        <v>164.98479290955873</v>
      </c>
      <c r="AT170">
        <f t="shared" si="34"/>
        <v>0</v>
      </c>
      <c r="AU170">
        <f t="shared" si="35"/>
        <v>0</v>
      </c>
      <c r="AV170">
        <f t="shared" si="36"/>
        <v>1.6150380550444257</v>
      </c>
      <c r="AW170">
        <f t="shared" si="37"/>
        <v>1</v>
      </c>
      <c r="AX170" s="11"/>
      <c r="BE170" s="3" t="s">
        <v>15</v>
      </c>
      <c r="BF170">
        <v>3</v>
      </c>
      <c r="BG170" t="s">
        <v>39</v>
      </c>
      <c r="BH170" t="s">
        <v>39</v>
      </c>
      <c r="BI170" t="s">
        <v>46</v>
      </c>
      <c r="BJ170" t="s">
        <v>46</v>
      </c>
    </row>
    <row r="171" spans="2:62" ht="12.75">
      <c r="B171" s="3" t="s">
        <v>7</v>
      </c>
      <c r="C171">
        <v>3</v>
      </c>
      <c r="G171" s="19">
        <v>0.008015237629337963</v>
      </c>
      <c r="H171" s="4">
        <v>0</v>
      </c>
      <c r="I171" s="4">
        <v>0</v>
      </c>
      <c r="J171" s="4">
        <v>0</v>
      </c>
      <c r="K171" s="4">
        <v>0</v>
      </c>
      <c r="L171" s="4">
        <v>0.00042030856473913413</v>
      </c>
      <c r="M171" s="4">
        <v>0</v>
      </c>
      <c r="N171" s="27">
        <v>0</v>
      </c>
      <c r="O171" s="4">
        <v>0</v>
      </c>
      <c r="P171" s="4">
        <v>0</v>
      </c>
      <c r="Q171" s="4">
        <v>0</v>
      </c>
      <c r="R171" s="4">
        <v>0</v>
      </c>
      <c r="S171" s="4">
        <v>0</v>
      </c>
      <c r="T171" s="4">
        <v>0</v>
      </c>
      <c r="U171" s="4">
        <v>0</v>
      </c>
      <c r="V171" s="17">
        <v>0</v>
      </c>
      <c r="W171" s="17">
        <v>0.008435546194077097</v>
      </c>
      <c r="X171" s="51">
        <v>2.041402178966657</v>
      </c>
      <c r="Y171" s="18"/>
      <c r="Z171" s="19">
        <v>0.0008838455519916986</v>
      </c>
      <c r="AA171" s="4">
        <v>0</v>
      </c>
      <c r="AB171" s="19">
        <v>0</v>
      </c>
      <c r="AC171" s="4">
        <v>0</v>
      </c>
      <c r="AD171" s="4">
        <v>0</v>
      </c>
      <c r="AE171" s="4">
        <v>9.424865661087706E-07</v>
      </c>
      <c r="AF171" s="4">
        <v>0</v>
      </c>
      <c r="AG171" s="4">
        <v>0</v>
      </c>
      <c r="AH171" s="19">
        <v>0</v>
      </c>
      <c r="AI171" s="17">
        <v>0</v>
      </c>
      <c r="AJ171" s="4">
        <v>0</v>
      </c>
      <c r="AK171" s="4">
        <v>0</v>
      </c>
      <c r="AL171" s="4">
        <v>0</v>
      </c>
      <c r="AM171" s="4">
        <v>0</v>
      </c>
      <c r="AN171" s="4">
        <v>0</v>
      </c>
      <c r="AO171" s="4">
        <v>0</v>
      </c>
      <c r="AP171" s="6">
        <v>0.0008847880385578074</v>
      </c>
      <c r="AQ171">
        <v>0.4501365737519777</v>
      </c>
      <c r="AR171">
        <f t="shared" si="32"/>
        <v>1</v>
      </c>
      <c r="AS171">
        <f t="shared" si="33"/>
        <v>0.9189097824898727</v>
      </c>
      <c r="AT171">
        <f t="shared" si="34"/>
        <v>2.041402178966657</v>
      </c>
      <c r="AU171">
        <f t="shared" si="35"/>
        <v>3</v>
      </c>
      <c r="AV171">
        <f t="shared" si="36"/>
        <v>0</v>
      </c>
      <c r="AW171">
        <f t="shared" si="37"/>
        <v>0</v>
      </c>
      <c r="BE171" s="3" t="s">
        <v>16</v>
      </c>
      <c r="BF171">
        <v>0</v>
      </c>
      <c r="BG171" t="s">
        <v>39</v>
      </c>
      <c r="BH171" t="s">
        <v>46</v>
      </c>
      <c r="BI171" t="s">
        <v>39</v>
      </c>
      <c r="BJ171" t="s">
        <v>46</v>
      </c>
    </row>
    <row r="172" spans="2:62" ht="12.75">
      <c r="B172" s="3" t="s">
        <v>15</v>
      </c>
      <c r="C172">
        <v>3</v>
      </c>
      <c r="G172" s="19">
        <v>0.0031845678105982145</v>
      </c>
      <c r="H172" s="4">
        <v>0</v>
      </c>
      <c r="I172" s="4">
        <v>0</v>
      </c>
      <c r="J172" s="4">
        <v>0</v>
      </c>
      <c r="K172" s="4">
        <v>0</v>
      </c>
      <c r="L172" s="4">
        <v>0.0010578744823139135</v>
      </c>
      <c r="M172" s="4">
        <v>0</v>
      </c>
      <c r="N172" s="27">
        <v>0</v>
      </c>
      <c r="O172" s="4">
        <v>0</v>
      </c>
      <c r="P172" s="4">
        <v>0</v>
      </c>
      <c r="Q172" s="4">
        <v>0</v>
      </c>
      <c r="R172" s="4">
        <v>0</v>
      </c>
      <c r="S172" s="4">
        <v>0</v>
      </c>
      <c r="T172" s="4">
        <v>0</v>
      </c>
      <c r="U172" s="4">
        <v>0</v>
      </c>
      <c r="V172" s="17">
        <v>0</v>
      </c>
      <c r="W172" s="17">
        <v>0.004242442292912128</v>
      </c>
      <c r="X172" s="51">
        <v>1.026671034884735</v>
      </c>
      <c r="Y172" s="18"/>
      <c r="Z172" s="19">
        <v>0.00013952260541899147</v>
      </c>
      <c r="AA172" s="4">
        <v>0</v>
      </c>
      <c r="AB172" s="19">
        <v>0</v>
      </c>
      <c r="AC172" s="4">
        <v>0</v>
      </c>
      <c r="AD172" s="4">
        <v>0</v>
      </c>
      <c r="AE172" s="4">
        <v>5.9704487080469855E-06</v>
      </c>
      <c r="AF172" s="4">
        <v>0</v>
      </c>
      <c r="AG172" s="4">
        <v>0</v>
      </c>
      <c r="AH172" s="19">
        <v>0</v>
      </c>
      <c r="AI172" s="17">
        <v>0</v>
      </c>
      <c r="AJ172" s="4">
        <v>0</v>
      </c>
      <c r="AK172" s="4">
        <v>0</v>
      </c>
      <c r="AL172" s="4">
        <v>0</v>
      </c>
      <c r="AM172" s="4">
        <v>0</v>
      </c>
      <c r="AN172" s="4">
        <v>0</v>
      </c>
      <c r="AO172" s="4">
        <v>0</v>
      </c>
      <c r="AP172" s="6">
        <v>0.00014549305412703845</v>
      </c>
      <c r="AQ172">
        <v>3.792867503075187</v>
      </c>
      <c r="AR172">
        <f t="shared" si="32"/>
        <v>1</v>
      </c>
      <c r="AS172">
        <f t="shared" si="33"/>
        <v>3.894027204562883</v>
      </c>
      <c r="AT172">
        <f t="shared" si="34"/>
        <v>1.026671034884735</v>
      </c>
      <c r="AU172">
        <f t="shared" si="35"/>
        <v>3</v>
      </c>
      <c r="AV172">
        <f t="shared" si="36"/>
        <v>0</v>
      </c>
      <c r="AW172">
        <f t="shared" si="37"/>
        <v>0</v>
      </c>
      <c r="BE172" s="3" t="s">
        <v>17</v>
      </c>
      <c r="BF172">
        <v>2</v>
      </c>
      <c r="BG172" t="s">
        <v>39</v>
      </c>
      <c r="BH172" t="s">
        <v>46</v>
      </c>
      <c r="BI172" t="s">
        <v>46</v>
      </c>
      <c r="BJ172" t="s">
        <v>46</v>
      </c>
    </row>
    <row r="173" spans="2:62" ht="12.75">
      <c r="B173" s="3" t="s">
        <v>16</v>
      </c>
      <c r="C173">
        <v>0</v>
      </c>
      <c r="G173" s="19">
        <v>0</v>
      </c>
      <c r="H173" s="4">
        <v>0</v>
      </c>
      <c r="I173" s="4">
        <v>0</v>
      </c>
      <c r="J173" s="4">
        <v>0</v>
      </c>
      <c r="K173" s="4">
        <v>0</v>
      </c>
      <c r="L173" s="4">
        <v>0</v>
      </c>
      <c r="M173" s="4">
        <v>0</v>
      </c>
      <c r="N173" s="27">
        <v>0.0016590687521305918</v>
      </c>
      <c r="O173" s="4">
        <v>0</v>
      </c>
      <c r="P173" s="4">
        <v>0</v>
      </c>
      <c r="Q173" s="4">
        <v>0</v>
      </c>
      <c r="R173" s="4">
        <v>0</v>
      </c>
      <c r="S173" s="4">
        <v>0</v>
      </c>
      <c r="T173" s="4">
        <v>0</v>
      </c>
      <c r="U173" s="4">
        <v>0</v>
      </c>
      <c r="V173" s="17">
        <v>0</v>
      </c>
      <c r="W173" s="17">
        <v>0.0016590687521305918</v>
      </c>
      <c r="X173" s="51">
        <v>0.4014946380156032</v>
      </c>
      <c r="Y173" s="18"/>
      <c r="Z173" s="19">
        <v>0</v>
      </c>
      <c r="AA173" s="4">
        <v>0</v>
      </c>
      <c r="AB173" s="19">
        <v>0</v>
      </c>
      <c r="AC173" s="4">
        <v>0</v>
      </c>
      <c r="AD173" s="4">
        <v>0</v>
      </c>
      <c r="AE173" s="4">
        <v>0</v>
      </c>
      <c r="AF173" s="4">
        <v>0</v>
      </c>
      <c r="AG173" s="4">
        <v>3.7202430364568208E-06</v>
      </c>
      <c r="AH173" s="19">
        <v>0</v>
      </c>
      <c r="AI173" s="17">
        <v>0</v>
      </c>
      <c r="AJ173" s="4">
        <v>0</v>
      </c>
      <c r="AK173" s="4">
        <v>0</v>
      </c>
      <c r="AL173" s="4">
        <v>0</v>
      </c>
      <c r="AM173" s="4">
        <v>0</v>
      </c>
      <c r="AN173" s="4">
        <v>0</v>
      </c>
      <c r="AO173" s="4">
        <v>0</v>
      </c>
      <c r="AP173" s="6">
        <v>3.7202430364568208E-06</v>
      </c>
      <c r="AQ173">
        <v>0.40149463801560326</v>
      </c>
      <c r="AR173">
        <f t="shared" si="32"/>
        <v>1</v>
      </c>
      <c r="AS173">
        <f t="shared" si="33"/>
        <v>0.16119794435528026</v>
      </c>
      <c r="AT173">
        <f t="shared" si="34"/>
        <v>0.4014946380156032</v>
      </c>
      <c r="AU173">
        <f t="shared" si="35"/>
        <v>0</v>
      </c>
      <c r="AV173">
        <f t="shared" si="36"/>
        <v>0</v>
      </c>
      <c r="AW173">
        <f t="shared" si="37"/>
        <v>0</v>
      </c>
      <c r="BE173" s="3" t="s">
        <v>18</v>
      </c>
      <c r="BF173">
        <v>4</v>
      </c>
      <c r="BG173" t="s">
        <v>46</v>
      </c>
      <c r="BH173" t="s">
        <v>39</v>
      </c>
      <c r="BI173" t="s">
        <v>39</v>
      </c>
      <c r="BJ173" t="s">
        <v>46</v>
      </c>
    </row>
    <row r="174" spans="2:62" ht="12.75">
      <c r="B174" s="3" t="s">
        <v>17</v>
      </c>
      <c r="C174">
        <v>2</v>
      </c>
      <c r="G174" s="19">
        <v>0</v>
      </c>
      <c r="H174" s="4">
        <v>0</v>
      </c>
      <c r="I174" s="4">
        <v>0</v>
      </c>
      <c r="J174" s="4">
        <v>0</v>
      </c>
      <c r="K174" s="4">
        <v>0</v>
      </c>
      <c r="L174" s="4">
        <v>0</v>
      </c>
      <c r="M174" s="4">
        <v>0</v>
      </c>
      <c r="N174" s="27">
        <v>0.0041757095727341185</v>
      </c>
      <c r="O174" s="4">
        <v>0</v>
      </c>
      <c r="P174" s="4">
        <v>0</v>
      </c>
      <c r="Q174" s="4">
        <v>0</v>
      </c>
      <c r="R174" s="4">
        <v>0</v>
      </c>
      <c r="S174" s="4">
        <v>0</v>
      </c>
      <c r="T174" s="4">
        <v>0</v>
      </c>
      <c r="U174" s="4">
        <v>0</v>
      </c>
      <c r="V174" s="17">
        <v>0</v>
      </c>
      <c r="W174" s="17">
        <v>0.0041757095727341185</v>
      </c>
      <c r="X174" s="51">
        <v>1.0105217166016567</v>
      </c>
      <c r="Y174" s="18"/>
      <c r="Z174" s="19">
        <v>0</v>
      </c>
      <c r="AA174" s="4">
        <v>0</v>
      </c>
      <c r="AB174" s="19">
        <v>0</v>
      </c>
      <c r="AC174" s="4">
        <v>0</v>
      </c>
      <c r="AD174" s="4">
        <v>0</v>
      </c>
      <c r="AE174" s="4">
        <v>0</v>
      </c>
      <c r="AF174" s="4">
        <v>0</v>
      </c>
      <c r="AG174" s="4">
        <v>2.356693562470473E-05</v>
      </c>
      <c r="AH174" s="19">
        <v>0</v>
      </c>
      <c r="AI174" s="17">
        <v>0</v>
      </c>
      <c r="AJ174" s="4">
        <v>0</v>
      </c>
      <c r="AK174" s="4">
        <v>0</v>
      </c>
      <c r="AL174" s="4">
        <v>0</v>
      </c>
      <c r="AM174" s="4">
        <v>0</v>
      </c>
      <c r="AN174" s="4">
        <v>0</v>
      </c>
      <c r="AO174" s="4">
        <v>0</v>
      </c>
      <c r="AP174" s="6">
        <v>2.356693562470473E-05</v>
      </c>
      <c r="AQ174">
        <v>0.9688730654987757</v>
      </c>
      <c r="AR174">
        <f t="shared" si="32"/>
        <v>1</v>
      </c>
      <c r="AS174">
        <f t="shared" si="33"/>
        <v>0.9790672733169322</v>
      </c>
      <c r="AT174">
        <f t="shared" si="34"/>
        <v>1.0105217166016567</v>
      </c>
      <c r="AU174">
        <f t="shared" si="35"/>
        <v>2</v>
      </c>
      <c r="AV174">
        <f t="shared" si="36"/>
        <v>0</v>
      </c>
      <c r="AW174">
        <f t="shared" si="37"/>
        <v>0</v>
      </c>
      <c r="BE174" s="16" t="s">
        <v>19</v>
      </c>
      <c r="BF174">
        <v>2</v>
      </c>
      <c r="BG174" t="s">
        <v>46</v>
      </c>
      <c r="BH174" t="s">
        <v>39</v>
      </c>
      <c r="BI174" t="s">
        <v>46</v>
      </c>
      <c r="BJ174" t="s">
        <v>46</v>
      </c>
    </row>
    <row r="175" spans="2:62" ht="12.75">
      <c r="B175" s="3" t="s">
        <v>18</v>
      </c>
      <c r="C175">
        <v>4</v>
      </c>
      <c r="G175" s="19">
        <v>0.0004102317358269715</v>
      </c>
      <c r="H175" s="4">
        <v>0</v>
      </c>
      <c r="I175" s="4">
        <v>0</v>
      </c>
      <c r="J175" s="4">
        <v>0</v>
      </c>
      <c r="K175" s="4">
        <v>0</v>
      </c>
      <c r="L175" s="4">
        <v>0.008212121905290795</v>
      </c>
      <c r="M175" s="4">
        <v>0</v>
      </c>
      <c r="N175" s="27">
        <v>0</v>
      </c>
      <c r="O175" s="4">
        <v>0</v>
      </c>
      <c r="P175" s="4">
        <v>0</v>
      </c>
      <c r="Q175" s="4">
        <v>0</v>
      </c>
      <c r="R175" s="4">
        <v>0</v>
      </c>
      <c r="S175" s="4">
        <v>0</v>
      </c>
      <c r="T175" s="4">
        <v>0</v>
      </c>
      <c r="U175" s="4">
        <v>0</v>
      </c>
      <c r="V175" s="17">
        <v>0</v>
      </c>
      <c r="W175" s="17">
        <v>0.008622353641117766</v>
      </c>
      <c r="X175" s="51">
        <v>2.0866095811504994</v>
      </c>
      <c r="Y175" s="18"/>
      <c r="Z175" s="19">
        <v>2.315272348578325E-06</v>
      </c>
      <c r="AA175" s="4">
        <v>0</v>
      </c>
      <c r="AB175" s="19">
        <v>0</v>
      </c>
      <c r="AC175" s="4">
        <v>0</v>
      </c>
      <c r="AD175" s="4">
        <v>0</v>
      </c>
      <c r="AE175" s="4">
        <v>0.0003597903113984287</v>
      </c>
      <c r="AF175" s="4">
        <v>0</v>
      </c>
      <c r="AG175" s="4">
        <v>0</v>
      </c>
      <c r="AH175" s="19">
        <v>0</v>
      </c>
      <c r="AI175" s="17">
        <v>0</v>
      </c>
      <c r="AJ175" s="4">
        <v>0</v>
      </c>
      <c r="AK175" s="4">
        <v>0</v>
      </c>
      <c r="AL175" s="4">
        <v>0</v>
      </c>
      <c r="AM175" s="4">
        <v>0</v>
      </c>
      <c r="AN175" s="4">
        <v>0</v>
      </c>
      <c r="AO175" s="4">
        <v>0</v>
      </c>
      <c r="AP175" s="6">
        <v>0.00036210558374700705</v>
      </c>
      <c r="AQ175">
        <v>1.7545509845337033</v>
      </c>
      <c r="AR175">
        <f t="shared" si="32"/>
        <v>1</v>
      </c>
      <c r="AS175">
        <f t="shared" si="33"/>
        <v>3.661062894945067</v>
      </c>
      <c r="AT175">
        <f t="shared" si="34"/>
        <v>2.0866095811504994</v>
      </c>
      <c r="AU175">
        <f t="shared" si="35"/>
        <v>4</v>
      </c>
      <c r="AV175">
        <f t="shared" si="36"/>
        <v>0</v>
      </c>
      <c r="AW175">
        <f t="shared" si="37"/>
        <v>0</v>
      </c>
      <c r="BE175" s="16" t="s">
        <v>20</v>
      </c>
      <c r="BF175">
        <v>5</v>
      </c>
      <c r="BG175" t="s">
        <v>46</v>
      </c>
      <c r="BH175" t="s">
        <v>46</v>
      </c>
      <c r="BI175" t="s">
        <v>39</v>
      </c>
      <c r="BJ175" t="s">
        <v>46</v>
      </c>
    </row>
    <row r="176" spans="2:62" ht="13.5" thickBot="1">
      <c r="B176" s="16" t="s">
        <v>19</v>
      </c>
      <c r="C176">
        <v>2</v>
      </c>
      <c r="G176" s="19">
        <v>0.0001629908982384481</v>
      </c>
      <c r="H176" s="4">
        <v>0</v>
      </c>
      <c r="I176" s="4">
        <v>0</v>
      </c>
      <c r="J176" s="4">
        <v>0</v>
      </c>
      <c r="K176" s="4">
        <v>0</v>
      </c>
      <c r="L176" s="4">
        <v>0.020669086804476867</v>
      </c>
      <c r="M176" s="4">
        <v>0</v>
      </c>
      <c r="N176" s="27">
        <v>0</v>
      </c>
      <c r="O176" s="4">
        <v>0</v>
      </c>
      <c r="P176" s="4">
        <v>0</v>
      </c>
      <c r="Q176" s="4">
        <v>0</v>
      </c>
      <c r="R176" s="4">
        <v>0</v>
      </c>
      <c r="S176" s="4">
        <v>0</v>
      </c>
      <c r="T176" s="4">
        <v>0</v>
      </c>
      <c r="U176" s="4">
        <v>0</v>
      </c>
      <c r="V176" s="17">
        <v>0</v>
      </c>
      <c r="W176" s="17">
        <v>0.020832077702715314</v>
      </c>
      <c r="X176" s="51">
        <v>5.041362804057106</v>
      </c>
      <c r="Y176" s="18"/>
      <c r="Z176" s="19">
        <v>3.654856095618269E-07</v>
      </c>
      <c r="AA176" s="4">
        <v>0</v>
      </c>
      <c r="AB176" s="19">
        <v>0</v>
      </c>
      <c r="AC176" s="4">
        <v>0</v>
      </c>
      <c r="AD176" s="4">
        <v>0</v>
      </c>
      <c r="AE176" s="4">
        <v>0.0022791938655692856</v>
      </c>
      <c r="AF176" s="4">
        <v>0</v>
      </c>
      <c r="AG176" s="4">
        <v>0</v>
      </c>
      <c r="AH176" s="19">
        <v>0</v>
      </c>
      <c r="AI176" s="17">
        <v>0</v>
      </c>
      <c r="AJ176" s="4">
        <v>0</v>
      </c>
      <c r="AK176" s="4">
        <v>0</v>
      </c>
      <c r="AL176" s="4">
        <v>0</v>
      </c>
      <c r="AM176" s="4">
        <v>0</v>
      </c>
      <c r="AN176" s="4">
        <v>0</v>
      </c>
      <c r="AO176" s="4">
        <v>0</v>
      </c>
      <c r="AP176" s="6">
        <v>0.0022795593511788473</v>
      </c>
      <c r="AQ176">
        <v>1.8347990544259434</v>
      </c>
      <c r="AR176">
        <f t="shared" si="32"/>
        <v>0</v>
      </c>
      <c r="AS176">
        <f t="shared" si="33"/>
        <v>9.2498877059021</v>
      </c>
      <c r="AT176">
        <f t="shared" si="34"/>
        <v>0</v>
      </c>
      <c r="AU176">
        <f t="shared" si="35"/>
        <v>0</v>
      </c>
      <c r="AV176">
        <f t="shared" si="36"/>
        <v>1.8347990544259434</v>
      </c>
      <c r="AW176">
        <f t="shared" si="37"/>
        <v>1</v>
      </c>
      <c r="BE176" s="12" t="s">
        <v>21</v>
      </c>
      <c r="BF176">
        <v>16</v>
      </c>
      <c r="BG176" t="s">
        <v>46</v>
      </c>
      <c r="BH176" t="s">
        <v>46</v>
      </c>
      <c r="BI176" t="s">
        <v>46</v>
      </c>
      <c r="BJ176" t="s">
        <v>46</v>
      </c>
    </row>
    <row r="177" spans="2:49" ht="12.75">
      <c r="B177" s="16" t="s">
        <v>20</v>
      </c>
      <c r="C177">
        <v>5</v>
      </c>
      <c r="G177" s="19">
        <v>0</v>
      </c>
      <c r="H177" s="4">
        <v>0</v>
      </c>
      <c r="I177" s="4">
        <v>0</v>
      </c>
      <c r="J177" s="4">
        <v>0</v>
      </c>
      <c r="K177" s="4">
        <v>0</v>
      </c>
      <c r="L177" s="4">
        <v>0</v>
      </c>
      <c r="M177" s="4">
        <v>0</v>
      </c>
      <c r="N177" s="27">
        <v>0.032415410926044705</v>
      </c>
      <c r="O177" s="4">
        <v>0</v>
      </c>
      <c r="P177" s="4">
        <v>0</v>
      </c>
      <c r="Q177" s="4">
        <v>0</v>
      </c>
      <c r="R177" s="4">
        <v>0</v>
      </c>
      <c r="S177" s="4">
        <v>0</v>
      </c>
      <c r="T177" s="4">
        <v>0</v>
      </c>
      <c r="U177" s="4">
        <v>0</v>
      </c>
      <c r="V177" s="17">
        <v>0</v>
      </c>
      <c r="W177" s="17">
        <v>0.032415410926044705</v>
      </c>
      <c r="X177" s="51">
        <v>7.844529444102818</v>
      </c>
      <c r="Y177" s="18"/>
      <c r="Z177" s="19">
        <v>0</v>
      </c>
      <c r="AA177" s="4">
        <v>0</v>
      </c>
      <c r="AB177" s="19">
        <v>0</v>
      </c>
      <c r="AC177" s="4">
        <v>0</v>
      </c>
      <c r="AD177" s="4">
        <v>0</v>
      </c>
      <c r="AE177" s="4">
        <v>0</v>
      </c>
      <c r="AF177" s="4">
        <v>0</v>
      </c>
      <c r="AG177" s="4">
        <v>0.0014201872458415084</v>
      </c>
      <c r="AH177" s="19">
        <v>0</v>
      </c>
      <c r="AI177" s="17">
        <v>0</v>
      </c>
      <c r="AJ177" s="4">
        <v>0</v>
      </c>
      <c r="AK177" s="4">
        <v>0</v>
      </c>
      <c r="AL177" s="4">
        <v>0</v>
      </c>
      <c r="AM177" s="4">
        <v>0</v>
      </c>
      <c r="AN177" s="4">
        <v>0</v>
      </c>
      <c r="AO177" s="4">
        <v>0</v>
      </c>
      <c r="AP177" s="6">
        <v>0.0014201872458415084</v>
      </c>
      <c r="AQ177">
        <v>1.031463750123421</v>
      </c>
      <c r="AR177">
        <f t="shared" si="32"/>
        <v>0</v>
      </c>
      <c r="AS177">
        <f t="shared" si="33"/>
        <v>8.091347758367888</v>
      </c>
      <c r="AT177">
        <f t="shared" si="34"/>
        <v>0</v>
      </c>
      <c r="AU177">
        <f t="shared" si="35"/>
        <v>0</v>
      </c>
      <c r="AV177">
        <f t="shared" si="36"/>
        <v>1.031463750123421</v>
      </c>
      <c r="AW177">
        <f t="shared" si="37"/>
        <v>1</v>
      </c>
    </row>
    <row r="178" spans="2:49" ht="13.5" thickBot="1">
      <c r="B178" s="12" t="s">
        <v>21</v>
      </c>
      <c r="C178">
        <v>16</v>
      </c>
      <c r="G178" s="19">
        <v>0</v>
      </c>
      <c r="H178" s="4">
        <v>0</v>
      </c>
      <c r="I178" s="4">
        <v>0</v>
      </c>
      <c r="J178" s="4">
        <v>0</v>
      </c>
      <c r="K178" s="4">
        <v>0</v>
      </c>
      <c r="L178" s="4">
        <v>0</v>
      </c>
      <c r="M178" s="4">
        <v>0</v>
      </c>
      <c r="N178" s="27">
        <v>0.08158633663262467</v>
      </c>
      <c r="O178" s="4">
        <v>0</v>
      </c>
      <c r="P178" s="4">
        <v>0</v>
      </c>
      <c r="Q178" s="4">
        <v>0</v>
      </c>
      <c r="R178" s="4">
        <v>0</v>
      </c>
      <c r="S178" s="4">
        <v>0</v>
      </c>
      <c r="T178" s="4">
        <v>0</v>
      </c>
      <c r="U178" s="4">
        <v>0</v>
      </c>
      <c r="V178" s="17">
        <v>0</v>
      </c>
      <c r="W178" s="17">
        <v>0.08158633663262467</v>
      </c>
      <c r="X178" s="51">
        <v>19.74389346509517</v>
      </c>
      <c r="Y178" s="18"/>
      <c r="Z178" s="19">
        <v>0</v>
      </c>
      <c r="AA178" s="4">
        <v>0</v>
      </c>
      <c r="AB178" s="19">
        <v>0</v>
      </c>
      <c r="AC178" s="4">
        <v>0</v>
      </c>
      <c r="AD178" s="4">
        <v>0</v>
      </c>
      <c r="AE178" s="4">
        <v>0</v>
      </c>
      <c r="AF178" s="4">
        <v>0</v>
      </c>
      <c r="AG178" s="4">
        <v>0.008996579274468593</v>
      </c>
      <c r="AH178" s="19">
        <v>0</v>
      </c>
      <c r="AI178" s="17">
        <v>0</v>
      </c>
      <c r="AJ178" s="4">
        <v>0</v>
      </c>
      <c r="AK178" s="4">
        <v>0</v>
      </c>
      <c r="AL178" s="4">
        <v>0</v>
      </c>
      <c r="AM178" s="4">
        <v>0</v>
      </c>
      <c r="AN178" s="4">
        <v>0</v>
      </c>
      <c r="AO178" s="4">
        <v>0</v>
      </c>
      <c r="AP178" s="6">
        <v>0.008996579274468593</v>
      </c>
      <c r="AQ178">
        <v>0.7099277709719323</v>
      </c>
      <c r="AR178">
        <f t="shared" si="32"/>
        <v>0</v>
      </c>
      <c r="AS178">
        <f t="shared" si="33"/>
        <v>14.016738277982315</v>
      </c>
      <c r="AT178">
        <f t="shared" si="34"/>
        <v>0</v>
      </c>
      <c r="AU178">
        <f t="shared" si="35"/>
        <v>0</v>
      </c>
      <c r="AV178">
        <f t="shared" si="36"/>
        <v>0.7099277709719323</v>
      </c>
      <c r="AW178">
        <f t="shared" si="37"/>
        <v>1</v>
      </c>
    </row>
    <row r="179" spans="3:50" ht="12.75">
      <c r="C179" s="2">
        <v>242</v>
      </c>
      <c r="D179" s="2">
        <v>0</v>
      </c>
      <c r="E179" s="2">
        <v>0</v>
      </c>
      <c r="F179" s="2">
        <v>0</v>
      </c>
      <c r="G179" s="33">
        <v>0.07268694639010713</v>
      </c>
      <c r="H179" s="2">
        <v>0</v>
      </c>
      <c r="I179" s="2">
        <v>0</v>
      </c>
      <c r="J179" s="2">
        <v>0</v>
      </c>
      <c r="K179" s="2">
        <v>0</v>
      </c>
      <c r="L179" s="2">
        <v>0.1874395836987272</v>
      </c>
      <c r="M179" s="2">
        <v>0</v>
      </c>
      <c r="N179" s="29">
        <v>0.7398734699111658</v>
      </c>
      <c r="O179" s="2">
        <v>0</v>
      </c>
      <c r="P179" s="2">
        <v>0</v>
      </c>
      <c r="Q179" s="2">
        <v>0</v>
      </c>
      <c r="R179" s="2">
        <v>0</v>
      </c>
      <c r="S179" s="2">
        <v>0</v>
      </c>
      <c r="T179" s="2">
        <v>0</v>
      </c>
      <c r="U179" s="2">
        <v>0</v>
      </c>
      <c r="V179" s="32">
        <v>0</v>
      </c>
      <c r="W179" s="32">
        <v>1</v>
      </c>
      <c r="X179" s="32">
        <v>242</v>
      </c>
      <c r="Y179" s="32"/>
      <c r="Z179" s="33">
        <v>0.028493906027523115</v>
      </c>
      <c r="AA179" s="2">
        <v>0</v>
      </c>
      <c r="AB179" s="2">
        <v>0</v>
      </c>
      <c r="AC179" s="2">
        <v>0</v>
      </c>
      <c r="AD179" s="2">
        <v>0</v>
      </c>
      <c r="AE179" s="2">
        <v>0.07347792346490008</v>
      </c>
      <c r="AF179" s="2">
        <v>0</v>
      </c>
      <c r="AG179" s="2">
        <v>0.2900367420961779</v>
      </c>
      <c r="AH179" s="2">
        <v>0</v>
      </c>
      <c r="AI179" s="2">
        <v>0</v>
      </c>
      <c r="AJ179" s="2">
        <v>0</v>
      </c>
      <c r="AK179" s="2">
        <v>0</v>
      </c>
      <c r="AL179" s="2">
        <v>0</v>
      </c>
      <c r="AM179" s="2">
        <v>0</v>
      </c>
      <c r="AN179" s="2">
        <v>0</v>
      </c>
      <c r="AO179" s="2">
        <v>0</v>
      </c>
      <c r="AP179" s="2">
        <v>0.3920085715886011</v>
      </c>
      <c r="AQ179" s="36">
        <v>15.742197878892402</v>
      </c>
      <c r="AR179" s="36">
        <f>SUM(AR163:AR178)</f>
        <v>6</v>
      </c>
      <c r="AT179">
        <f>SUM(AT163:AT178)</f>
        <v>8.644041650691108</v>
      </c>
      <c r="AU179">
        <f>SUM(AU163:AU178)</f>
        <v>14</v>
      </c>
      <c r="AV179" s="36">
        <f>SUM(AV163:AV178)</f>
        <v>8.371395539527642</v>
      </c>
      <c r="AW179" s="36">
        <f>SUM(AW163:AW178)</f>
        <v>10</v>
      </c>
      <c r="AX179" t="s">
        <v>64</v>
      </c>
    </row>
    <row r="180" spans="13:63" ht="12.75">
      <c r="M180" s="15"/>
      <c r="N180" s="15"/>
      <c r="AQ180" t="s">
        <v>38</v>
      </c>
      <c r="AU180" s="36">
        <f>POWER(AT179-AU179,2)/AT179</f>
        <v>3.3186200389534344</v>
      </c>
      <c r="AV180" s="41">
        <f>AV179+AU180</f>
        <v>11.690015578481077</v>
      </c>
      <c r="BE180" t="s">
        <v>40</v>
      </c>
      <c r="BF180" t="s">
        <v>47</v>
      </c>
      <c r="BG180" t="s">
        <v>48</v>
      </c>
      <c r="BH180" t="s">
        <v>42</v>
      </c>
      <c r="BI180" t="s">
        <v>43</v>
      </c>
      <c r="BJ180" t="s">
        <v>44</v>
      </c>
      <c r="BK180" t="s">
        <v>45</v>
      </c>
    </row>
    <row r="181" spans="5:63" ht="12.75">
      <c r="E181" t="s">
        <v>106</v>
      </c>
      <c r="F181">
        <v>0</v>
      </c>
      <c r="M181" s="15"/>
      <c r="N181" s="15"/>
      <c r="AP181" t="s">
        <v>106</v>
      </c>
      <c r="AU181" t="s">
        <v>61</v>
      </c>
      <c r="BE181" s="16" t="s">
        <v>6</v>
      </c>
      <c r="BF181">
        <v>6</v>
      </c>
      <c r="BG181" s="51">
        <v>10.56226187504783</v>
      </c>
      <c r="BH181" t="s">
        <v>39</v>
      </c>
      <c r="BI181" t="s">
        <v>39</v>
      </c>
      <c r="BJ181" t="s">
        <v>39</v>
      </c>
      <c r="BK181" t="s">
        <v>39</v>
      </c>
    </row>
    <row r="182" spans="42:63" ht="12.75">
      <c r="AP182" t="s">
        <v>0</v>
      </c>
      <c r="BE182" s="3" t="s">
        <v>7</v>
      </c>
      <c r="BF182">
        <v>3</v>
      </c>
      <c r="BG182" s="51">
        <v>2.041402178966657</v>
      </c>
      <c r="BH182" t="s">
        <v>39</v>
      </c>
      <c r="BI182" t="s">
        <v>39</v>
      </c>
      <c r="BJ182" t="s">
        <v>39</v>
      </c>
      <c r="BK182" t="s">
        <v>46</v>
      </c>
    </row>
    <row r="183" spans="57:63" ht="12.75">
      <c r="BE183" s="16" t="s">
        <v>8</v>
      </c>
      <c r="BF183">
        <v>5</v>
      </c>
      <c r="BG183" s="51">
        <v>5.312019572482317</v>
      </c>
      <c r="BH183" t="s">
        <v>39</v>
      </c>
      <c r="BI183" t="s">
        <v>39</v>
      </c>
      <c r="BJ183" t="s">
        <v>46</v>
      </c>
      <c r="BK183" t="s">
        <v>39</v>
      </c>
    </row>
    <row r="184" spans="1:63" ht="12.75">
      <c r="A184" t="s">
        <v>69</v>
      </c>
      <c r="BE184" s="3" t="s">
        <v>15</v>
      </c>
      <c r="BF184">
        <v>3</v>
      </c>
      <c r="BG184" s="51">
        <v>1.026671034884735</v>
      </c>
      <c r="BH184" t="s">
        <v>39</v>
      </c>
      <c r="BI184" t="s">
        <v>39</v>
      </c>
      <c r="BJ184" t="s">
        <v>46</v>
      </c>
      <c r="BK184" t="s">
        <v>46</v>
      </c>
    </row>
    <row r="185" spans="4:63" ht="12.75">
      <c r="D185" t="s">
        <v>50</v>
      </c>
      <c r="BE185" s="16" t="s">
        <v>9</v>
      </c>
      <c r="BF185">
        <v>2</v>
      </c>
      <c r="BG185" s="51">
        <v>2.0773425010719544</v>
      </c>
      <c r="BH185" t="s">
        <v>39</v>
      </c>
      <c r="BI185" t="s">
        <v>46</v>
      </c>
      <c r="BJ185" t="s">
        <v>39</v>
      </c>
      <c r="BK185" t="s">
        <v>39</v>
      </c>
    </row>
    <row r="186" spans="4:63" ht="12.75">
      <c r="D186" s="9" t="s">
        <v>36</v>
      </c>
      <c r="BE186" s="3" t="s">
        <v>16</v>
      </c>
      <c r="BF186">
        <v>0</v>
      </c>
      <c r="BG186" s="51">
        <v>0.4014946380156032</v>
      </c>
      <c r="BH186" t="s">
        <v>39</v>
      </c>
      <c r="BI186" t="s">
        <v>46</v>
      </c>
      <c r="BJ186" t="s">
        <v>39</v>
      </c>
      <c r="BK186" t="s">
        <v>46</v>
      </c>
    </row>
    <row r="187" spans="1:63" ht="12.75">
      <c r="A187" t="s">
        <v>35</v>
      </c>
      <c r="B187" s="1">
        <v>0.1666091443573717</v>
      </c>
      <c r="BE187" s="16" t="s">
        <v>10</v>
      </c>
      <c r="BF187">
        <v>3</v>
      </c>
      <c r="BG187" s="51">
        <v>5.228462627865106</v>
      </c>
      <c r="BH187" t="s">
        <v>39</v>
      </c>
      <c r="BI187" t="s">
        <v>46</v>
      </c>
      <c r="BJ187" t="s">
        <v>46</v>
      </c>
      <c r="BK187" t="s">
        <v>39</v>
      </c>
    </row>
    <row r="188" spans="57:63" ht="13.5" thickBot="1">
      <c r="BE188" s="12" t="s">
        <v>17</v>
      </c>
      <c r="BF188">
        <v>2</v>
      </c>
      <c r="BG188" s="52">
        <v>1.0105217166016567</v>
      </c>
      <c r="BH188" t="s">
        <v>39</v>
      </c>
      <c r="BI188" t="s">
        <v>46</v>
      </c>
      <c r="BJ188" t="s">
        <v>46</v>
      </c>
      <c r="BK188" t="s">
        <v>46</v>
      </c>
    </row>
    <row r="189" spans="5:63" ht="12.75">
      <c r="E189" t="s">
        <v>49</v>
      </c>
      <c r="BE189" s="3" t="s">
        <v>11</v>
      </c>
      <c r="BF189">
        <v>12</v>
      </c>
      <c r="BG189" s="51">
        <v>10.796166014798503</v>
      </c>
      <c r="BH189" t="s">
        <v>46</v>
      </c>
      <c r="BI189" t="s">
        <v>39</v>
      </c>
      <c r="BJ189" t="s">
        <v>39</v>
      </c>
      <c r="BK189" t="s">
        <v>39</v>
      </c>
    </row>
    <row r="190" spans="2:63" ht="12.75">
      <c r="B190" t="s">
        <v>98</v>
      </c>
      <c r="C190" s="1">
        <v>0.043753373263016856</v>
      </c>
      <c r="BE190" s="3" t="s">
        <v>18</v>
      </c>
      <c r="BF190">
        <v>4</v>
      </c>
      <c r="BG190" s="51">
        <v>2.0866095811504994</v>
      </c>
      <c r="BH190" t="s">
        <v>46</v>
      </c>
      <c r="BI190" t="s">
        <v>39</v>
      </c>
      <c r="BJ190" t="s">
        <v>39</v>
      </c>
      <c r="BK190" t="s">
        <v>46</v>
      </c>
    </row>
    <row r="191" spans="2:63" ht="12.75">
      <c r="B191" t="s">
        <v>99</v>
      </c>
      <c r="C191" s="1">
        <v>0.0035505836069769843</v>
      </c>
      <c r="Z191" s="21" t="s">
        <v>34</v>
      </c>
      <c r="BE191" s="16" t="s">
        <v>12</v>
      </c>
      <c r="BF191">
        <v>25</v>
      </c>
      <c r="BG191" s="51">
        <v>26.084127220110265</v>
      </c>
      <c r="BH191" t="s">
        <v>46</v>
      </c>
      <c r="BI191" t="s">
        <v>39</v>
      </c>
      <c r="BJ191" t="s">
        <v>46</v>
      </c>
      <c r="BK191" t="s">
        <v>39</v>
      </c>
    </row>
    <row r="192" spans="2:63" ht="12.75">
      <c r="B192" t="s">
        <v>100</v>
      </c>
      <c r="C192" s="1">
        <v>0.5</v>
      </c>
      <c r="BE192" s="3" t="s">
        <v>19</v>
      </c>
      <c r="BF192">
        <v>2</v>
      </c>
      <c r="BG192" s="51">
        <v>5.041362804057106</v>
      </c>
      <c r="BH192" t="s">
        <v>46</v>
      </c>
      <c r="BI192" t="s">
        <v>39</v>
      </c>
      <c r="BJ192" t="s">
        <v>46</v>
      </c>
      <c r="BK192" t="s">
        <v>46</v>
      </c>
    </row>
    <row r="193" spans="2:63" ht="12.75">
      <c r="B193" t="s">
        <v>5</v>
      </c>
      <c r="C193" s="1">
        <v>0.15467467362338014</v>
      </c>
      <c r="G193" s="21" t="s">
        <v>107</v>
      </c>
      <c r="Z193" s="21" t="s">
        <v>101</v>
      </c>
      <c r="AP193" t="s">
        <v>108</v>
      </c>
      <c r="BE193" s="16" t="s">
        <v>13</v>
      </c>
      <c r="BF193">
        <v>39</v>
      </c>
      <c r="BG193" s="51">
        <v>40.58777595558285</v>
      </c>
      <c r="BH193" t="s">
        <v>46</v>
      </c>
      <c r="BI193" t="s">
        <v>46</v>
      </c>
      <c r="BJ193" t="s">
        <v>39</v>
      </c>
      <c r="BK193" t="s">
        <v>39</v>
      </c>
    </row>
    <row r="194" spans="23:63" ht="12.75">
      <c r="W194" s="30" t="s">
        <v>22</v>
      </c>
      <c r="X194" s="15" t="s">
        <v>2</v>
      </c>
      <c r="AP194" t="s">
        <v>22</v>
      </c>
      <c r="AQ194" t="s">
        <v>37</v>
      </c>
      <c r="BE194" s="16" t="s">
        <v>20</v>
      </c>
      <c r="BF194">
        <v>5</v>
      </c>
      <c r="BG194" s="51">
        <v>7.844529444102818</v>
      </c>
      <c r="BH194" t="s">
        <v>46</v>
      </c>
      <c r="BI194" t="s">
        <v>46</v>
      </c>
      <c r="BJ194" t="s">
        <v>39</v>
      </c>
      <c r="BK194" t="s">
        <v>46</v>
      </c>
    </row>
    <row r="195" spans="5:63" ht="12.75">
      <c r="E195" s="2"/>
      <c r="F195" s="2"/>
      <c r="G195" s="37">
        <v>0.06748056707744281</v>
      </c>
      <c r="H195" s="5">
        <v>0</v>
      </c>
      <c r="I195" s="5">
        <v>0</v>
      </c>
      <c r="J195" s="5">
        <v>0</v>
      </c>
      <c r="K195" s="5">
        <v>0</v>
      </c>
      <c r="L195" s="38">
        <v>0.17094828325008565</v>
      </c>
      <c r="M195" s="38">
        <v>0.7615711496724715</v>
      </c>
      <c r="N195" s="40">
        <v>0</v>
      </c>
      <c r="O195" s="5">
        <v>0</v>
      </c>
      <c r="P195" s="5">
        <v>0</v>
      </c>
      <c r="Q195" s="5">
        <v>0</v>
      </c>
      <c r="R195" s="5">
        <v>0</v>
      </c>
      <c r="S195" s="5">
        <v>0</v>
      </c>
      <c r="T195" s="5">
        <v>0</v>
      </c>
      <c r="U195" s="5">
        <v>0</v>
      </c>
      <c r="V195" s="39">
        <v>0</v>
      </c>
      <c r="W195" s="17">
        <v>1</v>
      </c>
      <c r="X195" s="15" t="s">
        <v>97</v>
      </c>
      <c r="Z195" s="34">
        <v>0.06748056707744281</v>
      </c>
      <c r="AA195" s="8">
        <v>0</v>
      </c>
      <c r="AB195" s="8">
        <v>0</v>
      </c>
      <c r="AC195" s="8">
        <v>0</v>
      </c>
      <c r="AD195" s="8">
        <v>0</v>
      </c>
      <c r="AE195" s="8">
        <v>0.17094828325008565</v>
      </c>
      <c r="AF195" s="8">
        <v>0.7615711496724715</v>
      </c>
      <c r="AG195" s="8">
        <v>0</v>
      </c>
      <c r="AH195" s="34">
        <v>0</v>
      </c>
      <c r="AI195" s="35">
        <v>0</v>
      </c>
      <c r="AJ195" s="8">
        <v>0</v>
      </c>
      <c r="AK195" s="8">
        <v>0</v>
      </c>
      <c r="AL195" s="8">
        <v>0</v>
      </c>
      <c r="AM195" s="8">
        <v>0</v>
      </c>
      <c r="AN195" s="8">
        <v>0</v>
      </c>
      <c r="AO195" s="8">
        <v>0</v>
      </c>
      <c r="AP195" s="6">
        <v>1</v>
      </c>
      <c r="AX195" s="53" t="s">
        <v>90</v>
      </c>
      <c r="AY195" s="53" t="s">
        <v>91</v>
      </c>
      <c r="AZ195" s="53"/>
      <c r="BE195" s="16" t="s">
        <v>14</v>
      </c>
      <c r="BF195">
        <v>115</v>
      </c>
      <c r="BG195" s="51">
        <v>102.15535937016692</v>
      </c>
      <c r="BH195" t="s">
        <v>46</v>
      </c>
      <c r="BI195" t="s">
        <v>46</v>
      </c>
      <c r="BJ195" t="s">
        <v>46</v>
      </c>
      <c r="BK195" t="s">
        <v>39</v>
      </c>
    </row>
    <row r="196" spans="2:63" ht="13.5" thickBot="1">
      <c r="B196" t="s">
        <v>1</v>
      </c>
      <c r="C196" t="s">
        <v>102</v>
      </c>
      <c r="D196" t="s">
        <v>103</v>
      </c>
      <c r="E196" t="s">
        <v>104</v>
      </c>
      <c r="F196" t="s">
        <v>105</v>
      </c>
      <c r="G196" s="23" t="s">
        <v>6</v>
      </c>
      <c r="H196" s="7" t="s">
        <v>8</v>
      </c>
      <c r="I196" s="7" t="s">
        <v>9</v>
      </c>
      <c r="J196" s="7" t="s">
        <v>10</v>
      </c>
      <c r="K196" s="7" t="s">
        <v>11</v>
      </c>
      <c r="L196" s="7" t="s">
        <v>12</v>
      </c>
      <c r="M196" s="7" t="s">
        <v>13</v>
      </c>
      <c r="N196" s="26" t="s">
        <v>14</v>
      </c>
      <c r="O196" s="7" t="s">
        <v>7</v>
      </c>
      <c r="P196" s="7" t="s">
        <v>15</v>
      </c>
      <c r="Q196" s="7" t="s">
        <v>16</v>
      </c>
      <c r="R196" s="7" t="s">
        <v>17</v>
      </c>
      <c r="S196" s="7" t="s">
        <v>18</v>
      </c>
      <c r="T196" s="7" t="s">
        <v>19</v>
      </c>
      <c r="U196" s="7" t="s">
        <v>20</v>
      </c>
      <c r="V196" s="31" t="s">
        <v>21</v>
      </c>
      <c r="W196" s="31"/>
      <c r="Z196" s="23" t="s">
        <v>6</v>
      </c>
      <c r="AA196" s="7" t="s">
        <v>8</v>
      </c>
      <c r="AB196" s="7" t="s">
        <v>9</v>
      </c>
      <c r="AC196" s="7" t="s">
        <v>10</v>
      </c>
      <c r="AD196" s="7" t="s">
        <v>11</v>
      </c>
      <c r="AE196" s="7" t="s">
        <v>12</v>
      </c>
      <c r="AF196" s="7" t="s">
        <v>13</v>
      </c>
      <c r="AG196" s="26" t="s">
        <v>14</v>
      </c>
      <c r="AH196" s="7" t="s">
        <v>7</v>
      </c>
      <c r="AI196" s="7" t="s">
        <v>15</v>
      </c>
      <c r="AJ196" s="7" t="s">
        <v>16</v>
      </c>
      <c r="AK196" s="7" t="s">
        <v>17</v>
      </c>
      <c r="AL196" s="7" t="s">
        <v>18</v>
      </c>
      <c r="AM196" s="7" t="s">
        <v>19</v>
      </c>
      <c r="AN196" s="7" t="s">
        <v>20</v>
      </c>
      <c r="AO196" s="31" t="s">
        <v>21</v>
      </c>
      <c r="AP196" s="6"/>
      <c r="AR196" t="s">
        <v>58</v>
      </c>
      <c r="AS196" t="s">
        <v>59</v>
      </c>
      <c r="AT196" t="s">
        <v>60</v>
      </c>
      <c r="AU196" t="s">
        <v>62</v>
      </c>
      <c r="AW196" t="s">
        <v>63</v>
      </c>
      <c r="AX196" s="53"/>
      <c r="AY196" s="53"/>
      <c r="AZ196" s="53"/>
      <c r="BE196" s="12" t="s">
        <v>21</v>
      </c>
      <c r="BF196">
        <v>16</v>
      </c>
      <c r="BG196" s="51">
        <v>19.74389346509517</v>
      </c>
      <c r="BH196" t="s">
        <v>46</v>
      </c>
      <c r="BI196" t="s">
        <v>46</v>
      </c>
      <c r="BJ196" t="s">
        <v>46</v>
      </c>
      <c r="BK196" t="s">
        <v>46</v>
      </c>
    </row>
    <row r="197" spans="2:52" ht="12.75">
      <c r="B197" s="16" t="s">
        <v>6</v>
      </c>
      <c r="C197">
        <v>6</v>
      </c>
      <c r="G197" s="19">
        <v>0.02717676644030415</v>
      </c>
      <c r="H197" s="4">
        <v>0</v>
      </c>
      <c r="I197" s="4">
        <v>0</v>
      </c>
      <c r="J197" s="4">
        <v>0</v>
      </c>
      <c r="K197" s="4">
        <v>0</v>
      </c>
      <c r="L197" s="4">
        <v>0.003150107883843255</v>
      </c>
      <c r="M197" s="4">
        <v>5.0005255865491195E-05</v>
      </c>
      <c r="N197" s="27">
        <v>0</v>
      </c>
      <c r="O197" s="4">
        <v>0</v>
      </c>
      <c r="P197" s="4">
        <v>0</v>
      </c>
      <c r="Q197" s="4">
        <v>0</v>
      </c>
      <c r="R197" s="4">
        <v>0</v>
      </c>
      <c r="S197" s="4">
        <v>0</v>
      </c>
      <c r="T197" s="4">
        <v>0</v>
      </c>
      <c r="U197" s="4">
        <v>0</v>
      </c>
      <c r="V197" s="17">
        <v>0</v>
      </c>
      <c r="W197" s="17">
        <v>0.030376879580012894</v>
      </c>
      <c r="X197" s="18">
        <v>7.35120485836312</v>
      </c>
      <c r="Y197" s="18"/>
      <c r="Z197" s="19">
        <v>0.010945027081696397</v>
      </c>
      <c r="AA197" s="4">
        <v>0</v>
      </c>
      <c r="AB197" s="4">
        <v>0</v>
      </c>
      <c r="AC197" s="4">
        <v>0</v>
      </c>
      <c r="AD197" s="4">
        <v>0</v>
      </c>
      <c r="AE197" s="4">
        <v>5.8047846349731965E-05</v>
      </c>
      <c r="AF197" s="4">
        <v>3.2833775481760845E-09</v>
      </c>
      <c r="AG197" s="4">
        <v>0</v>
      </c>
      <c r="AH197" s="19">
        <v>0</v>
      </c>
      <c r="AI197" s="17">
        <v>0</v>
      </c>
      <c r="AJ197" s="4">
        <v>0</v>
      </c>
      <c r="AK197" s="4">
        <v>0</v>
      </c>
      <c r="AL197" s="4">
        <v>0</v>
      </c>
      <c r="AM197" s="4">
        <v>0</v>
      </c>
      <c r="AN197" s="4">
        <v>0</v>
      </c>
      <c r="AO197" s="4">
        <v>0</v>
      </c>
      <c r="AP197" s="6">
        <v>0.011003078211423678</v>
      </c>
      <c r="AQ197">
        <v>0.24836126926690455</v>
      </c>
      <c r="AR197">
        <f>IF(X197&lt;4,1,0)</f>
        <v>0</v>
      </c>
      <c r="AS197">
        <f>POWER(C197-X197,2)</f>
        <v>1.8257545692640997</v>
      </c>
      <c r="AT197">
        <f>AR197*X197</f>
        <v>0</v>
      </c>
      <c r="AU197">
        <f>IF(AR197=1,C197,0)</f>
        <v>0</v>
      </c>
      <c r="AV197">
        <f>IF(AR197=0,AQ197,0)</f>
        <v>0.24836126926690455</v>
      </c>
      <c r="AW197">
        <f>IF(AV197&gt;0.00001,1,0)</f>
        <v>1</v>
      </c>
      <c r="AX197" s="53">
        <f>100*(C201+C202+C203+C204+C209+C210+C211+C212)/C213</f>
        <v>90.08264462809917</v>
      </c>
      <c r="AY197" s="53">
        <f>100*(X201+X202+X203+X204+X209+X210+X211+X212)/X213</f>
        <v>89.46710645382191</v>
      </c>
      <c r="AZ197" s="53" t="s">
        <v>93</v>
      </c>
    </row>
    <row r="198" spans="2:52" ht="12.75">
      <c r="B198" s="16" t="s">
        <v>8</v>
      </c>
      <c r="C198">
        <v>5</v>
      </c>
      <c r="G198" s="19">
        <v>0.02717676644030415</v>
      </c>
      <c r="H198" s="4">
        <v>0</v>
      </c>
      <c r="I198" s="4">
        <v>0</v>
      </c>
      <c r="J198" s="4">
        <v>0</v>
      </c>
      <c r="K198" s="4">
        <v>0</v>
      </c>
      <c r="L198" s="4">
        <v>0.003150107883843255</v>
      </c>
      <c r="M198" s="4">
        <v>5.0005255865491195E-05</v>
      </c>
      <c r="N198" s="27">
        <v>0</v>
      </c>
      <c r="O198" s="4">
        <v>0</v>
      </c>
      <c r="P198" s="4">
        <v>0</v>
      </c>
      <c r="Q198" s="4">
        <v>0</v>
      </c>
      <c r="R198" s="4">
        <v>0</v>
      </c>
      <c r="S198" s="4">
        <v>0</v>
      </c>
      <c r="T198" s="4">
        <v>0</v>
      </c>
      <c r="U198" s="4">
        <v>0</v>
      </c>
      <c r="V198" s="17">
        <v>0</v>
      </c>
      <c r="W198" s="17">
        <v>0.030376879580012894</v>
      </c>
      <c r="X198" s="18">
        <v>7.35120485836312</v>
      </c>
      <c r="Y198" s="18"/>
      <c r="Z198" s="19">
        <v>0.010945027081696397</v>
      </c>
      <c r="AA198" s="4">
        <v>0</v>
      </c>
      <c r="AB198" s="4">
        <v>0</v>
      </c>
      <c r="AC198" s="4">
        <v>0</v>
      </c>
      <c r="AD198" s="4">
        <v>0</v>
      </c>
      <c r="AE198" s="4">
        <v>5.8047846349731965E-05</v>
      </c>
      <c r="AF198" s="4">
        <v>3.2833775481760845E-09</v>
      </c>
      <c r="AG198" s="4">
        <v>0</v>
      </c>
      <c r="AH198" s="19">
        <v>0</v>
      </c>
      <c r="AI198" s="17">
        <v>0</v>
      </c>
      <c r="AJ198" s="4">
        <v>0</v>
      </c>
      <c r="AK198" s="4">
        <v>0</v>
      </c>
      <c r="AL198" s="4">
        <v>0</v>
      </c>
      <c r="AM198" s="4">
        <v>0</v>
      </c>
      <c r="AN198" s="4">
        <v>0</v>
      </c>
      <c r="AO198" s="4">
        <v>0</v>
      </c>
      <c r="AP198" s="6">
        <v>0.011003078211423678</v>
      </c>
      <c r="AQ198">
        <v>0.7520079214907482</v>
      </c>
      <c r="AR198">
        <f aca="true" t="shared" si="38" ref="AR198:AR212">IF(X198&lt;4,1,0)</f>
        <v>0</v>
      </c>
      <c r="AS198">
        <f aca="true" t="shared" si="39" ref="AS198:AS212">POWER(C198-X198,2)</f>
        <v>5.52816428599034</v>
      </c>
      <c r="AT198">
        <f aca="true" t="shared" si="40" ref="AT198:AT212">AR198*X198</f>
        <v>0</v>
      </c>
      <c r="AU198">
        <f aca="true" t="shared" si="41" ref="AU198:AU212">IF(AR198=1,C198,0)</f>
        <v>0</v>
      </c>
      <c r="AV198">
        <f aca="true" t="shared" si="42" ref="AV198:AV212">IF(AR198=0,AQ198,0)</f>
        <v>0.7520079214907482</v>
      </c>
      <c r="AW198">
        <f aca="true" t="shared" si="43" ref="AW198:AW212">IF(AV198&gt;0.00001,1,0)</f>
        <v>1</v>
      </c>
      <c r="AX198" s="53">
        <f>100*(C199+C200+C203+C204+C207+C208+C211+C212)/C213</f>
        <v>75.20661157024793</v>
      </c>
      <c r="AY198" s="53">
        <f>100*(X199+X200+X203+X204+X207+X208+X211+X212)/X213</f>
        <v>75.97136892003013</v>
      </c>
      <c r="AZ198" s="53" t="s">
        <v>94</v>
      </c>
    </row>
    <row r="199" spans="2:52" ht="12.75">
      <c r="B199" s="16" t="s">
        <v>9</v>
      </c>
      <c r="C199">
        <v>2</v>
      </c>
      <c r="G199" s="19">
        <v>9.683721002404291E-05</v>
      </c>
      <c r="H199" s="4">
        <v>0</v>
      </c>
      <c r="I199" s="4">
        <v>0</v>
      </c>
      <c r="J199" s="4">
        <v>0</v>
      </c>
      <c r="K199" s="4">
        <v>0</v>
      </c>
      <c r="L199" s="4">
        <v>1.1224575205302044E-05</v>
      </c>
      <c r="M199" s="4">
        <v>0.014033667007823677</v>
      </c>
      <c r="N199" s="27">
        <v>0</v>
      </c>
      <c r="O199" s="4">
        <v>0</v>
      </c>
      <c r="P199" s="4">
        <v>0</v>
      </c>
      <c r="Q199" s="4">
        <v>0</v>
      </c>
      <c r="R199" s="4">
        <v>0</v>
      </c>
      <c r="S199" s="4">
        <v>0</v>
      </c>
      <c r="T199" s="4">
        <v>0</v>
      </c>
      <c r="U199" s="4">
        <v>0</v>
      </c>
      <c r="V199" s="17">
        <v>0</v>
      </c>
      <c r="W199" s="17">
        <v>0.014141728793053022</v>
      </c>
      <c r="X199" s="18">
        <v>3.4222983679188315</v>
      </c>
      <c r="Y199" s="18"/>
      <c r="Z199" s="19">
        <v>1.389651221288456E-07</v>
      </c>
      <c r="AA199" s="4">
        <v>0</v>
      </c>
      <c r="AB199" s="4">
        <v>0</v>
      </c>
      <c r="AC199" s="4">
        <v>0</v>
      </c>
      <c r="AD199" s="4">
        <v>0</v>
      </c>
      <c r="AE199" s="4">
        <v>7.370128915255912E-10</v>
      </c>
      <c r="AF199" s="4">
        <v>0.0002586019832436907</v>
      </c>
      <c r="AG199" s="4">
        <v>0</v>
      </c>
      <c r="AH199" s="19">
        <v>0</v>
      </c>
      <c r="AI199" s="17">
        <v>0</v>
      </c>
      <c r="AJ199" s="4">
        <v>0</v>
      </c>
      <c r="AK199" s="4">
        <v>0</v>
      </c>
      <c r="AL199" s="4">
        <v>0</v>
      </c>
      <c r="AM199" s="4">
        <v>0</v>
      </c>
      <c r="AN199" s="4">
        <v>0</v>
      </c>
      <c r="AO199" s="4">
        <v>0</v>
      </c>
      <c r="AP199" s="6">
        <v>0.0002587416853787111</v>
      </c>
      <c r="AQ199">
        <v>0.5911035304074781</v>
      </c>
      <c r="AR199">
        <f t="shared" si="38"/>
        <v>1</v>
      </c>
      <c r="AS199">
        <f t="shared" si="39"/>
        <v>2.0229326473845717</v>
      </c>
      <c r="AT199">
        <f t="shared" si="40"/>
        <v>3.4222983679188315</v>
      </c>
      <c r="AU199">
        <f t="shared" si="41"/>
        <v>2</v>
      </c>
      <c r="AV199">
        <f t="shared" si="42"/>
        <v>0</v>
      </c>
      <c r="AW199">
        <f t="shared" si="43"/>
        <v>0</v>
      </c>
      <c r="AX199" s="53">
        <f>100*(C198+C200+C202+C204+C206+C208+C210+C212)/C213</f>
        <v>70.66115702479338</v>
      </c>
      <c r="AY199" s="53">
        <f>100*(X198+X200+X202+X204+X206+X208+X210+X212)/X213</f>
        <v>50.00000000000001</v>
      </c>
      <c r="AZ199" s="53" t="s">
        <v>95</v>
      </c>
    </row>
    <row r="200" spans="2:52" ht="12.75">
      <c r="B200" s="16" t="s">
        <v>10</v>
      </c>
      <c r="C200">
        <v>3</v>
      </c>
      <c r="G200" s="19">
        <v>9.683721002404291E-05</v>
      </c>
      <c r="H200" s="4">
        <v>0</v>
      </c>
      <c r="I200" s="4">
        <v>0</v>
      </c>
      <c r="J200" s="4">
        <v>0</v>
      </c>
      <c r="K200" s="4">
        <v>0</v>
      </c>
      <c r="L200" s="4">
        <v>1.1224575205302044E-05</v>
      </c>
      <c r="M200" s="4">
        <v>0.014033667007823677</v>
      </c>
      <c r="N200" s="27">
        <v>0</v>
      </c>
      <c r="O200" s="4">
        <v>0</v>
      </c>
      <c r="P200" s="4">
        <v>0</v>
      </c>
      <c r="Q200" s="4">
        <v>0</v>
      </c>
      <c r="R200" s="4">
        <v>0</v>
      </c>
      <c r="S200" s="4">
        <v>0</v>
      </c>
      <c r="T200" s="4">
        <v>0</v>
      </c>
      <c r="U200" s="4">
        <v>0</v>
      </c>
      <c r="V200" s="17">
        <v>0</v>
      </c>
      <c r="W200" s="17">
        <v>0.014141728793053022</v>
      </c>
      <c r="X200" s="18">
        <v>3.4222983679188315</v>
      </c>
      <c r="Y200" s="18"/>
      <c r="Z200" s="19">
        <v>1.389651221288456E-07</v>
      </c>
      <c r="AA200" s="4">
        <v>0</v>
      </c>
      <c r="AB200" s="4">
        <v>0</v>
      </c>
      <c r="AC200" s="4">
        <v>0</v>
      </c>
      <c r="AD200" s="4">
        <v>0</v>
      </c>
      <c r="AE200" s="4">
        <v>7.370128915255912E-10</v>
      </c>
      <c r="AF200" s="4">
        <v>0.0002586019832436907</v>
      </c>
      <c r="AG200" s="4">
        <v>0</v>
      </c>
      <c r="AH200" s="19">
        <v>0</v>
      </c>
      <c r="AI200" s="17">
        <v>0</v>
      </c>
      <c r="AJ200" s="4">
        <v>0</v>
      </c>
      <c r="AK200" s="4">
        <v>0</v>
      </c>
      <c r="AL200" s="4">
        <v>0</v>
      </c>
      <c r="AM200" s="4">
        <v>0</v>
      </c>
      <c r="AN200" s="4">
        <v>0</v>
      </c>
      <c r="AO200" s="4">
        <v>0</v>
      </c>
      <c r="AP200" s="6">
        <v>0.0002587416853787111</v>
      </c>
      <c r="AQ200">
        <v>0.0521099835182864</v>
      </c>
      <c r="AR200">
        <f t="shared" si="38"/>
        <v>1</v>
      </c>
      <c r="AS200">
        <f t="shared" si="39"/>
        <v>0.17833591154690875</v>
      </c>
      <c r="AT200">
        <f t="shared" si="40"/>
        <v>3.4222983679188315</v>
      </c>
      <c r="AU200">
        <f t="shared" si="41"/>
        <v>3</v>
      </c>
      <c r="AV200">
        <f t="shared" si="42"/>
        <v>0</v>
      </c>
      <c r="AW200">
        <f t="shared" si="43"/>
        <v>0</v>
      </c>
      <c r="AX200" s="53">
        <f>100*(C205+C206+C207+C208+C209+C210+C211+C212)/C213</f>
        <v>14.462809917355372</v>
      </c>
      <c r="AY200" s="53">
        <f>100*(X205+X206+X207+X208+X209+X210+X211+X212)/X213</f>
        <v>15.467467362338013</v>
      </c>
      <c r="AZ200" s="53" t="s">
        <v>96</v>
      </c>
    </row>
    <row r="201" spans="2:49" ht="12.75">
      <c r="B201" s="3" t="s">
        <v>11</v>
      </c>
      <c r="C201">
        <v>12</v>
      </c>
      <c r="G201" s="19">
        <v>0.0012434817262592175</v>
      </c>
      <c r="H201" s="4">
        <v>0</v>
      </c>
      <c r="I201" s="4">
        <v>0</v>
      </c>
      <c r="J201" s="4">
        <v>0</v>
      </c>
      <c r="K201" s="4">
        <v>0</v>
      </c>
      <c r="L201" s="4">
        <v>0.06884680684332195</v>
      </c>
      <c r="M201" s="4">
        <v>0.0010928839007006113</v>
      </c>
      <c r="N201" s="27">
        <v>0</v>
      </c>
      <c r="O201" s="4">
        <v>0</v>
      </c>
      <c r="P201" s="4">
        <v>0</v>
      </c>
      <c r="Q201" s="4">
        <v>0</v>
      </c>
      <c r="R201" s="4">
        <v>0</v>
      </c>
      <c r="S201" s="4">
        <v>0</v>
      </c>
      <c r="T201" s="4">
        <v>0</v>
      </c>
      <c r="U201" s="4">
        <v>0</v>
      </c>
      <c r="V201" s="17">
        <v>0</v>
      </c>
      <c r="W201" s="17">
        <v>0.07118317247028179</v>
      </c>
      <c r="X201" s="18">
        <v>17.226327737808194</v>
      </c>
      <c r="Y201" s="18"/>
      <c r="Z201" s="19">
        <v>2.29139568694804E-05</v>
      </c>
      <c r="AA201" s="4">
        <v>0</v>
      </c>
      <c r="AB201" s="4">
        <v>0</v>
      </c>
      <c r="AC201" s="4">
        <v>0</v>
      </c>
      <c r="AD201" s="4">
        <v>0</v>
      </c>
      <c r="AE201" s="4">
        <v>0.0277269986127182</v>
      </c>
      <c r="AF201" s="4">
        <v>1.5683304454537916E-06</v>
      </c>
      <c r="AG201" s="4">
        <v>0</v>
      </c>
      <c r="AH201" s="19">
        <v>0</v>
      </c>
      <c r="AI201" s="17">
        <v>0</v>
      </c>
      <c r="AJ201" s="4">
        <v>0</v>
      </c>
      <c r="AK201" s="4">
        <v>0</v>
      </c>
      <c r="AL201" s="4">
        <v>0</v>
      </c>
      <c r="AM201" s="4">
        <v>0</v>
      </c>
      <c r="AN201" s="4">
        <v>0</v>
      </c>
      <c r="AO201" s="4">
        <v>0</v>
      </c>
      <c r="AP201" s="6">
        <v>0.02775148090003313</v>
      </c>
      <c r="AQ201">
        <v>1.5856253311048811</v>
      </c>
      <c r="AR201">
        <f t="shared" si="38"/>
        <v>0</v>
      </c>
      <c r="AS201">
        <f t="shared" si="39"/>
        <v>27.314501622983318</v>
      </c>
      <c r="AT201">
        <f t="shared" si="40"/>
        <v>0</v>
      </c>
      <c r="AU201">
        <f t="shared" si="41"/>
        <v>0</v>
      </c>
      <c r="AV201">
        <f t="shared" si="42"/>
        <v>1.5856253311048811</v>
      </c>
      <c r="AW201">
        <f t="shared" si="43"/>
        <v>1</v>
      </c>
    </row>
    <row r="202" spans="1:50" ht="12.75">
      <c r="A202" s="15"/>
      <c r="B202" s="16" t="s">
        <v>12</v>
      </c>
      <c r="C202">
        <v>25</v>
      </c>
      <c r="G202" s="19">
        <v>0.0012434817262592175</v>
      </c>
      <c r="H202" s="17">
        <v>0</v>
      </c>
      <c r="I202" s="17">
        <v>0</v>
      </c>
      <c r="J202" s="17">
        <v>0</v>
      </c>
      <c r="K202" s="17">
        <v>0</v>
      </c>
      <c r="L202" s="17">
        <v>0.06884680684332195</v>
      </c>
      <c r="M202" s="17">
        <v>0.0010928839007006113</v>
      </c>
      <c r="N202" s="27">
        <v>0</v>
      </c>
      <c r="O202" s="17">
        <v>0</v>
      </c>
      <c r="P202" s="17">
        <v>0</v>
      </c>
      <c r="Q202" s="17">
        <v>0</v>
      </c>
      <c r="R202" s="17">
        <v>0</v>
      </c>
      <c r="S202" s="17">
        <v>0</v>
      </c>
      <c r="T202" s="17">
        <v>0</v>
      </c>
      <c r="U202" s="17">
        <v>0</v>
      </c>
      <c r="V202" s="17">
        <v>0</v>
      </c>
      <c r="W202" s="17">
        <v>0.07118317247028179</v>
      </c>
      <c r="X202" s="18">
        <v>17.226327737808194</v>
      </c>
      <c r="Y202" s="18"/>
      <c r="Z202" s="19">
        <v>2.29139568694804E-05</v>
      </c>
      <c r="AA202" s="4">
        <v>0</v>
      </c>
      <c r="AB202" s="4">
        <v>0</v>
      </c>
      <c r="AC202" s="17">
        <v>0</v>
      </c>
      <c r="AD202" s="17">
        <v>0</v>
      </c>
      <c r="AE202" s="17">
        <v>0.0277269986127182</v>
      </c>
      <c r="AF202" s="17">
        <v>1.5683304454537916E-06</v>
      </c>
      <c r="AG202" s="17">
        <v>0</v>
      </c>
      <c r="AH202" s="19">
        <v>0</v>
      </c>
      <c r="AI202" s="17">
        <v>0</v>
      </c>
      <c r="AJ202" s="17">
        <v>0</v>
      </c>
      <c r="AK202" s="17">
        <v>0</v>
      </c>
      <c r="AL202" s="17">
        <v>0</v>
      </c>
      <c r="AM202" s="17">
        <v>0</v>
      </c>
      <c r="AN202" s="17">
        <v>0</v>
      </c>
      <c r="AO202" s="17">
        <v>0</v>
      </c>
      <c r="AP202" s="6">
        <v>0.02775148090003313</v>
      </c>
      <c r="AQ202">
        <v>3.5080013198250644</v>
      </c>
      <c r="AR202">
        <f t="shared" si="38"/>
        <v>0</v>
      </c>
      <c r="AS202">
        <f t="shared" si="39"/>
        <v>60.429980439970265</v>
      </c>
      <c r="AT202">
        <f t="shared" si="40"/>
        <v>0</v>
      </c>
      <c r="AU202">
        <f t="shared" si="41"/>
        <v>0</v>
      </c>
      <c r="AV202">
        <f t="shared" si="42"/>
        <v>3.5080013198250644</v>
      </c>
      <c r="AW202">
        <f t="shared" si="43"/>
        <v>1</v>
      </c>
      <c r="AX202" s="15"/>
    </row>
    <row r="203" spans="1:50" ht="12.75">
      <c r="A203" s="15"/>
      <c r="B203" s="16" t="s">
        <v>13</v>
      </c>
      <c r="C203">
        <v>39</v>
      </c>
      <c r="G203" s="19">
        <v>4.430817821955556E-06</v>
      </c>
      <c r="H203" s="17">
        <v>0</v>
      </c>
      <c r="I203" s="17">
        <v>0</v>
      </c>
      <c r="J203" s="17">
        <v>0</v>
      </c>
      <c r="K203" s="17">
        <v>0</v>
      </c>
      <c r="L203" s="17">
        <v>0.0002453173635802446</v>
      </c>
      <c r="M203" s="17">
        <v>0.30671113416356005</v>
      </c>
      <c r="N203" s="27">
        <v>0</v>
      </c>
      <c r="O203" s="17">
        <v>0</v>
      </c>
      <c r="P203" s="17">
        <v>0</v>
      </c>
      <c r="Q203" s="17">
        <v>0</v>
      </c>
      <c r="R203" s="17">
        <v>0</v>
      </c>
      <c r="S203" s="17">
        <v>0</v>
      </c>
      <c r="T203" s="17">
        <v>0</v>
      </c>
      <c r="U203" s="17">
        <v>0</v>
      </c>
      <c r="V203" s="17">
        <v>0</v>
      </c>
      <c r="W203" s="17">
        <v>0.30696088234496227</v>
      </c>
      <c r="X203" s="18">
        <v>74.28453352748087</v>
      </c>
      <c r="Y203" s="18"/>
      <c r="Z203" s="19">
        <v>2.909303733151577E-10</v>
      </c>
      <c r="AA203" s="4">
        <v>0</v>
      </c>
      <c r="AB203" s="4">
        <v>0</v>
      </c>
      <c r="AC203" s="17">
        <v>0</v>
      </c>
      <c r="AD203" s="17">
        <v>0</v>
      </c>
      <c r="AE203" s="17">
        <v>3.5203985515269434E-07</v>
      </c>
      <c r="AF203" s="17">
        <v>0.123523218888156</v>
      </c>
      <c r="AG203" s="17">
        <v>0</v>
      </c>
      <c r="AH203" s="19">
        <v>0</v>
      </c>
      <c r="AI203" s="17">
        <v>0</v>
      </c>
      <c r="AJ203" s="17">
        <v>0</v>
      </c>
      <c r="AK203" s="17">
        <v>0</v>
      </c>
      <c r="AL203" s="17">
        <v>0</v>
      </c>
      <c r="AM203" s="17">
        <v>0</v>
      </c>
      <c r="AN203" s="17">
        <v>0</v>
      </c>
      <c r="AO203" s="17">
        <v>0</v>
      </c>
      <c r="AP203" s="6">
        <v>0.12352357121894152</v>
      </c>
      <c r="AQ203">
        <v>16.759858979141956</v>
      </c>
      <c r="AR203">
        <f t="shared" si="38"/>
        <v>0</v>
      </c>
      <c r="AS203">
        <f t="shared" si="39"/>
        <v>1244.998306251922</v>
      </c>
      <c r="AT203">
        <f t="shared" si="40"/>
        <v>0</v>
      </c>
      <c r="AU203">
        <f t="shared" si="41"/>
        <v>0</v>
      </c>
      <c r="AV203">
        <f t="shared" si="42"/>
        <v>16.759858979141956</v>
      </c>
      <c r="AW203">
        <f t="shared" si="43"/>
        <v>1</v>
      </c>
      <c r="AX203" s="15"/>
    </row>
    <row r="204" spans="1:50" ht="13.5" thickBot="1">
      <c r="A204" s="11" t="s">
        <v>4</v>
      </c>
      <c r="B204" s="12" t="s">
        <v>14</v>
      </c>
      <c r="C204">
        <v>115</v>
      </c>
      <c r="G204" s="20">
        <v>4.430817821955556E-06</v>
      </c>
      <c r="H204" s="13">
        <v>0</v>
      </c>
      <c r="I204" s="13">
        <v>0</v>
      </c>
      <c r="J204" s="13">
        <v>0</v>
      </c>
      <c r="K204" s="13">
        <v>0</v>
      </c>
      <c r="L204" s="13">
        <v>0.0002453173635802446</v>
      </c>
      <c r="M204" s="13">
        <v>0.30671113416356005</v>
      </c>
      <c r="N204" s="28">
        <v>0</v>
      </c>
      <c r="O204" s="13">
        <v>0</v>
      </c>
      <c r="P204" s="13">
        <v>0</v>
      </c>
      <c r="Q204" s="13">
        <v>0</v>
      </c>
      <c r="R204" s="13">
        <v>0</v>
      </c>
      <c r="S204" s="13">
        <v>0</v>
      </c>
      <c r="T204" s="13">
        <v>0</v>
      </c>
      <c r="U204" s="13">
        <v>0</v>
      </c>
      <c r="V204" s="13">
        <v>0</v>
      </c>
      <c r="W204" s="13">
        <v>0.30696088234496227</v>
      </c>
      <c r="X204" s="14">
        <v>74.28453352748087</v>
      </c>
      <c r="Y204" s="14"/>
      <c r="Z204" s="20">
        <v>2.909303733151577E-10</v>
      </c>
      <c r="AA204" s="13">
        <v>0</v>
      </c>
      <c r="AB204" s="13">
        <v>0</v>
      </c>
      <c r="AC204" s="13">
        <v>0</v>
      </c>
      <c r="AD204" s="13">
        <v>0</v>
      </c>
      <c r="AE204" s="13">
        <v>3.5203985515269434E-07</v>
      </c>
      <c r="AF204" s="13">
        <v>0.123523218888156</v>
      </c>
      <c r="AG204" s="13">
        <v>0</v>
      </c>
      <c r="AH204" s="20">
        <v>0</v>
      </c>
      <c r="AI204" s="13">
        <v>0</v>
      </c>
      <c r="AJ204" s="13">
        <v>0</v>
      </c>
      <c r="AK204" s="13">
        <v>0</v>
      </c>
      <c r="AL204" s="13">
        <v>0</v>
      </c>
      <c r="AM204" s="13">
        <v>0</v>
      </c>
      <c r="AN204" s="13">
        <v>0</v>
      </c>
      <c r="AO204" s="13">
        <v>0</v>
      </c>
      <c r="AP204" s="6">
        <v>0.12352357121894152</v>
      </c>
      <c r="AQ204">
        <v>22.316209463192767</v>
      </c>
      <c r="AR204">
        <f t="shared" si="38"/>
        <v>0</v>
      </c>
      <c r="AS204">
        <f t="shared" si="39"/>
        <v>1657.749210074829</v>
      </c>
      <c r="AT204">
        <f t="shared" si="40"/>
        <v>0</v>
      </c>
      <c r="AU204">
        <f t="shared" si="41"/>
        <v>0</v>
      </c>
      <c r="AV204">
        <f t="shared" si="42"/>
        <v>22.316209463192767</v>
      </c>
      <c r="AW204">
        <f t="shared" si="43"/>
        <v>1</v>
      </c>
      <c r="AX204" s="11"/>
    </row>
    <row r="205" spans="2:49" ht="12.75">
      <c r="B205" s="3" t="s">
        <v>7</v>
      </c>
      <c r="C205">
        <v>3</v>
      </c>
      <c r="G205" s="19">
        <v>0.004972709734500553</v>
      </c>
      <c r="H205" s="4">
        <v>0</v>
      </c>
      <c r="I205" s="4">
        <v>0</v>
      </c>
      <c r="J205" s="4">
        <v>0</v>
      </c>
      <c r="K205" s="4">
        <v>0</v>
      </c>
      <c r="L205" s="4">
        <v>0.0005763957302691887</v>
      </c>
      <c r="M205" s="4">
        <v>9.14978693895476E-06</v>
      </c>
      <c r="N205" s="27">
        <v>0</v>
      </c>
      <c r="O205" s="4">
        <v>0</v>
      </c>
      <c r="P205" s="4">
        <v>0</v>
      </c>
      <c r="Q205" s="4">
        <v>0</v>
      </c>
      <c r="R205" s="4">
        <v>0</v>
      </c>
      <c r="S205" s="4">
        <v>0</v>
      </c>
      <c r="T205" s="4">
        <v>0</v>
      </c>
      <c r="U205" s="4">
        <v>0</v>
      </c>
      <c r="V205" s="17">
        <v>0</v>
      </c>
      <c r="W205" s="17">
        <v>0.005558255251708696</v>
      </c>
      <c r="X205" s="18">
        <v>1.3450977709135046</v>
      </c>
      <c r="Y205" s="18"/>
      <c r="Z205" s="19">
        <v>0.0003664438989556522</v>
      </c>
      <c r="AA205" s="4">
        <v>0</v>
      </c>
      <c r="AB205" s="19">
        <v>0</v>
      </c>
      <c r="AC205" s="4">
        <v>0</v>
      </c>
      <c r="AD205" s="4">
        <v>0</v>
      </c>
      <c r="AE205" s="4">
        <v>1.9434651905016127E-06</v>
      </c>
      <c r="AF205" s="4">
        <v>1.0992879793867183E-10</v>
      </c>
      <c r="AG205" s="4">
        <v>0</v>
      </c>
      <c r="AH205" s="19">
        <v>0</v>
      </c>
      <c r="AI205" s="17">
        <v>0</v>
      </c>
      <c r="AJ205" s="4">
        <v>0</v>
      </c>
      <c r="AK205" s="4">
        <v>0</v>
      </c>
      <c r="AL205" s="4">
        <v>0</v>
      </c>
      <c r="AM205" s="4">
        <v>0</v>
      </c>
      <c r="AN205" s="4">
        <v>0</v>
      </c>
      <c r="AO205" s="4">
        <v>0</v>
      </c>
      <c r="AP205" s="6">
        <v>0.00036838747407495173</v>
      </c>
      <c r="AQ205">
        <v>2.0360612046628406</v>
      </c>
      <c r="AR205">
        <f t="shared" si="38"/>
        <v>1</v>
      </c>
      <c r="AS205">
        <f t="shared" si="39"/>
        <v>2.7387013878354516</v>
      </c>
      <c r="AT205">
        <f t="shared" si="40"/>
        <v>1.3450977709135046</v>
      </c>
      <c r="AU205">
        <f t="shared" si="41"/>
        <v>3</v>
      </c>
      <c r="AV205">
        <f t="shared" si="42"/>
        <v>0</v>
      </c>
      <c r="AW205">
        <f t="shared" si="43"/>
        <v>0</v>
      </c>
    </row>
    <row r="206" spans="2:49" ht="12.75">
      <c r="B206" s="3" t="s">
        <v>15</v>
      </c>
      <c r="C206">
        <v>3</v>
      </c>
      <c r="G206" s="19">
        <v>0.004972709734500553</v>
      </c>
      <c r="H206" s="4">
        <v>0</v>
      </c>
      <c r="I206" s="4">
        <v>0</v>
      </c>
      <c r="J206" s="4">
        <v>0</v>
      </c>
      <c r="K206" s="4">
        <v>0</v>
      </c>
      <c r="L206" s="4">
        <v>0.0005763957302691887</v>
      </c>
      <c r="M206" s="4">
        <v>9.14978693895476E-06</v>
      </c>
      <c r="N206" s="27">
        <v>0</v>
      </c>
      <c r="O206" s="4">
        <v>0</v>
      </c>
      <c r="P206" s="4">
        <v>0</v>
      </c>
      <c r="Q206" s="4">
        <v>0</v>
      </c>
      <c r="R206" s="4">
        <v>0</v>
      </c>
      <c r="S206" s="4">
        <v>0</v>
      </c>
      <c r="T206" s="4">
        <v>0</v>
      </c>
      <c r="U206" s="4">
        <v>0</v>
      </c>
      <c r="V206" s="17">
        <v>0</v>
      </c>
      <c r="W206" s="17">
        <v>0.005558255251708696</v>
      </c>
      <c r="X206" s="18">
        <v>1.3450977709135046</v>
      </c>
      <c r="Y206" s="18"/>
      <c r="Z206" s="19">
        <v>0.0003664438989556522</v>
      </c>
      <c r="AA206" s="4">
        <v>0</v>
      </c>
      <c r="AB206" s="19">
        <v>0</v>
      </c>
      <c r="AC206" s="4">
        <v>0</v>
      </c>
      <c r="AD206" s="4">
        <v>0</v>
      </c>
      <c r="AE206" s="4">
        <v>1.9434651905016127E-06</v>
      </c>
      <c r="AF206" s="4">
        <v>1.0992879793867183E-10</v>
      </c>
      <c r="AG206" s="4">
        <v>0</v>
      </c>
      <c r="AH206" s="19">
        <v>0</v>
      </c>
      <c r="AI206" s="17">
        <v>0</v>
      </c>
      <c r="AJ206" s="4">
        <v>0</v>
      </c>
      <c r="AK206" s="4">
        <v>0</v>
      </c>
      <c r="AL206" s="4">
        <v>0</v>
      </c>
      <c r="AM206" s="4">
        <v>0</v>
      </c>
      <c r="AN206" s="4">
        <v>0</v>
      </c>
      <c r="AO206" s="4">
        <v>0</v>
      </c>
      <c r="AP206" s="6">
        <v>0.00036838747407495173</v>
      </c>
      <c r="AQ206">
        <v>2.0360612046628406</v>
      </c>
      <c r="AR206">
        <f t="shared" si="38"/>
        <v>1</v>
      </c>
      <c r="AS206">
        <f t="shared" si="39"/>
        <v>2.7387013878354516</v>
      </c>
      <c r="AT206">
        <f t="shared" si="40"/>
        <v>1.3450977709135046</v>
      </c>
      <c r="AU206">
        <f t="shared" si="41"/>
        <v>3</v>
      </c>
      <c r="AV206">
        <f t="shared" si="42"/>
        <v>0</v>
      </c>
      <c r="AW206">
        <f t="shared" si="43"/>
        <v>0</v>
      </c>
    </row>
    <row r="207" spans="2:49" ht="12.75">
      <c r="B207" s="3" t="s">
        <v>16</v>
      </c>
      <c r="C207">
        <v>0</v>
      </c>
      <c r="G207" s="19">
        <v>1.771893422295767E-05</v>
      </c>
      <c r="H207" s="4">
        <v>0</v>
      </c>
      <c r="I207" s="4">
        <v>0</v>
      </c>
      <c r="J207" s="4">
        <v>0</v>
      </c>
      <c r="K207" s="4">
        <v>0</v>
      </c>
      <c r="L207" s="4">
        <v>2.0538335387193453E-06</v>
      </c>
      <c r="M207" s="4">
        <v>0.0025678313383541386</v>
      </c>
      <c r="N207" s="27">
        <v>0</v>
      </c>
      <c r="O207" s="4">
        <v>0</v>
      </c>
      <c r="P207" s="4">
        <v>0</v>
      </c>
      <c r="Q207" s="4">
        <v>0</v>
      </c>
      <c r="R207" s="4">
        <v>0</v>
      </c>
      <c r="S207" s="4">
        <v>0</v>
      </c>
      <c r="T207" s="4">
        <v>0</v>
      </c>
      <c r="U207" s="4">
        <v>0</v>
      </c>
      <c r="V207" s="17">
        <v>0</v>
      </c>
      <c r="W207" s="17">
        <v>0.0025876041061158156</v>
      </c>
      <c r="X207" s="18">
        <v>0.6262001936800274</v>
      </c>
      <c r="Y207" s="18"/>
      <c r="Z207" s="19">
        <v>4.652608055845018E-09</v>
      </c>
      <c r="AA207" s="4">
        <v>0</v>
      </c>
      <c r="AB207" s="19">
        <v>0</v>
      </c>
      <c r="AC207" s="4">
        <v>0</v>
      </c>
      <c r="AD207" s="4">
        <v>0</v>
      </c>
      <c r="AE207" s="4">
        <v>2.467548737297024E-11</v>
      </c>
      <c r="AF207" s="4">
        <v>8.658098176472915E-06</v>
      </c>
      <c r="AG207" s="4">
        <v>0</v>
      </c>
      <c r="AH207" s="19">
        <v>0</v>
      </c>
      <c r="AI207" s="17">
        <v>0</v>
      </c>
      <c r="AJ207" s="4">
        <v>0</v>
      </c>
      <c r="AK207" s="4">
        <v>0</v>
      </c>
      <c r="AL207" s="4">
        <v>0</v>
      </c>
      <c r="AM207" s="4">
        <v>0</v>
      </c>
      <c r="AN207" s="4">
        <v>0</v>
      </c>
      <c r="AO207" s="4">
        <v>0</v>
      </c>
      <c r="AP207" s="6">
        <v>8.662775460016132E-06</v>
      </c>
      <c r="AQ207">
        <v>0.6262001936800274</v>
      </c>
      <c r="AR207">
        <f t="shared" si="38"/>
        <v>1</v>
      </c>
      <c r="AS207">
        <f t="shared" si="39"/>
        <v>0.39212668256490385</v>
      </c>
      <c r="AT207">
        <f t="shared" si="40"/>
        <v>0.6262001936800274</v>
      </c>
      <c r="AU207">
        <f t="shared" si="41"/>
        <v>0</v>
      </c>
      <c r="AV207">
        <f t="shared" si="42"/>
        <v>0</v>
      </c>
      <c r="AW207">
        <f t="shared" si="43"/>
        <v>0</v>
      </c>
    </row>
    <row r="208" spans="2:49" ht="12.75">
      <c r="B208" s="3" t="s">
        <v>17</v>
      </c>
      <c r="C208">
        <v>2</v>
      </c>
      <c r="G208" s="19">
        <v>1.771893422295767E-05</v>
      </c>
      <c r="H208" s="4">
        <v>0</v>
      </c>
      <c r="I208" s="4">
        <v>0</v>
      </c>
      <c r="J208" s="4">
        <v>0</v>
      </c>
      <c r="K208" s="4">
        <v>0</v>
      </c>
      <c r="L208" s="4">
        <v>2.0538335387193453E-06</v>
      </c>
      <c r="M208" s="4">
        <v>0.0025678313383541386</v>
      </c>
      <c r="N208" s="27">
        <v>0</v>
      </c>
      <c r="O208" s="4">
        <v>0</v>
      </c>
      <c r="P208" s="4">
        <v>0</v>
      </c>
      <c r="Q208" s="4">
        <v>0</v>
      </c>
      <c r="R208" s="4">
        <v>0</v>
      </c>
      <c r="S208" s="4">
        <v>0</v>
      </c>
      <c r="T208" s="4">
        <v>0</v>
      </c>
      <c r="U208" s="4">
        <v>0</v>
      </c>
      <c r="V208" s="17">
        <v>0</v>
      </c>
      <c r="W208" s="17">
        <v>0.0025876041061158156</v>
      </c>
      <c r="X208" s="18">
        <v>0.6262001936800274</v>
      </c>
      <c r="Y208" s="18"/>
      <c r="Z208" s="19">
        <v>4.652608055845018E-09</v>
      </c>
      <c r="AA208" s="4">
        <v>0</v>
      </c>
      <c r="AB208" s="19">
        <v>0</v>
      </c>
      <c r="AC208" s="4">
        <v>0</v>
      </c>
      <c r="AD208" s="4">
        <v>0</v>
      </c>
      <c r="AE208" s="4">
        <v>2.467548737297024E-11</v>
      </c>
      <c r="AF208" s="4">
        <v>8.658098176472915E-06</v>
      </c>
      <c r="AG208" s="4">
        <v>0</v>
      </c>
      <c r="AH208" s="19">
        <v>0</v>
      </c>
      <c r="AI208" s="17">
        <v>0</v>
      </c>
      <c r="AJ208" s="4">
        <v>0</v>
      </c>
      <c r="AK208" s="4">
        <v>0</v>
      </c>
      <c r="AL208" s="4">
        <v>0</v>
      </c>
      <c r="AM208" s="4">
        <v>0</v>
      </c>
      <c r="AN208" s="4">
        <v>0</v>
      </c>
      <c r="AO208" s="4">
        <v>0</v>
      </c>
      <c r="AP208" s="6">
        <v>8.662775460016132E-06</v>
      </c>
      <c r="AQ208">
        <v>3.0139337657394116</v>
      </c>
      <c r="AR208">
        <f t="shared" si="38"/>
        <v>1</v>
      </c>
      <c r="AS208">
        <f t="shared" si="39"/>
        <v>1.8873259078447941</v>
      </c>
      <c r="AT208">
        <f t="shared" si="40"/>
        <v>0.6262001936800274</v>
      </c>
      <c r="AU208">
        <f t="shared" si="41"/>
        <v>2</v>
      </c>
      <c r="AV208">
        <f t="shared" si="42"/>
        <v>0</v>
      </c>
      <c r="AW208">
        <f t="shared" si="43"/>
        <v>0</v>
      </c>
    </row>
    <row r="209" spans="2:49" ht="12.75">
      <c r="B209" s="3" t="s">
        <v>18</v>
      </c>
      <c r="C209">
        <v>4</v>
      </c>
      <c r="G209" s="19">
        <v>0.00022752794003014435</v>
      </c>
      <c r="H209" s="4">
        <v>0</v>
      </c>
      <c r="I209" s="4">
        <v>0</v>
      </c>
      <c r="J209" s="4">
        <v>0</v>
      </c>
      <c r="K209" s="4">
        <v>0</v>
      </c>
      <c r="L209" s="4">
        <v>0.012597348081534123</v>
      </c>
      <c r="M209" s="4">
        <v>0.00019997207628178902</v>
      </c>
      <c r="N209" s="27">
        <v>0</v>
      </c>
      <c r="O209" s="4">
        <v>0</v>
      </c>
      <c r="P209" s="4">
        <v>0</v>
      </c>
      <c r="Q209" s="4">
        <v>0</v>
      </c>
      <c r="R209" s="4">
        <v>0</v>
      </c>
      <c r="S209" s="4">
        <v>0</v>
      </c>
      <c r="T209" s="4">
        <v>0</v>
      </c>
      <c r="U209" s="4">
        <v>0</v>
      </c>
      <c r="V209" s="17">
        <v>0</v>
      </c>
      <c r="W209" s="17">
        <v>0.013024848097846056</v>
      </c>
      <c r="X209" s="18">
        <v>3.1520132396787455</v>
      </c>
      <c r="Y209" s="18"/>
      <c r="Z209" s="19">
        <v>7.67168471405246E-07</v>
      </c>
      <c r="AA209" s="4">
        <v>0</v>
      </c>
      <c r="AB209" s="19">
        <v>0</v>
      </c>
      <c r="AC209" s="4">
        <v>0</v>
      </c>
      <c r="AD209" s="4">
        <v>0</v>
      </c>
      <c r="AE209" s="4">
        <v>0.0009283110404517729</v>
      </c>
      <c r="AF209" s="4">
        <v>5.2508332687822566E-08</v>
      </c>
      <c r="AG209" s="4">
        <v>0</v>
      </c>
      <c r="AH209" s="19">
        <v>0</v>
      </c>
      <c r="AI209" s="17">
        <v>0</v>
      </c>
      <c r="AJ209" s="4">
        <v>0</v>
      </c>
      <c r="AK209" s="4">
        <v>0</v>
      </c>
      <c r="AL209" s="4">
        <v>0</v>
      </c>
      <c r="AM209" s="4">
        <v>0</v>
      </c>
      <c r="AN209" s="4">
        <v>0</v>
      </c>
      <c r="AO209" s="4">
        <v>0</v>
      </c>
      <c r="AP209" s="6">
        <v>0.000929130717255866</v>
      </c>
      <c r="AQ209">
        <v>0.2281340498916895</v>
      </c>
      <c r="AR209">
        <f t="shared" si="38"/>
        <v>1</v>
      </c>
      <c r="AS209">
        <f t="shared" si="39"/>
        <v>0.7190815456801368</v>
      </c>
      <c r="AT209">
        <f t="shared" si="40"/>
        <v>3.1520132396787455</v>
      </c>
      <c r="AU209">
        <f t="shared" si="41"/>
        <v>4</v>
      </c>
      <c r="AV209">
        <f t="shared" si="42"/>
        <v>0</v>
      </c>
      <c r="AW209">
        <f t="shared" si="43"/>
        <v>0</v>
      </c>
    </row>
    <row r="210" spans="2:49" ht="12.75">
      <c r="B210" s="16" t="s">
        <v>19</v>
      </c>
      <c r="C210">
        <v>2</v>
      </c>
      <c r="G210" s="19">
        <v>0.00022752794003014435</v>
      </c>
      <c r="H210" s="4">
        <v>0</v>
      </c>
      <c r="I210" s="4">
        <v>0</v>
      </c>
      <c r="J210" s="4">
        <v>0</v>
      </c>
      <c r="K210" s="4">
        <v>0</v>
      </c>
      <c r="L210" s="4">
        <v>0.012597348081534123</v>
      </c>
      <c r="M210" s="4">
        <v>0.00019997207628178902</v>
      </c>
      <c r="N210" s="27">
        <v>0</v>
      </c>
      <c r="O210" s="4">
        <v>0</v>
      </c>
      <c r="P210" s="4">
        <v>0</v>
      </c>
      <c r="Q210" s="4">
        <v>0</v>
      </c>
      <c r="R210" s="4">
        <v>0</v>
      </c>
      <c r="S210" s="4">
        <v>0</v>
      </c>
      <c r="T210" s="4">
        <v>0</v>
      </c>
      <c r="U210" s="4">
        <v>0</v>
      </c>
      <c r="V210" s="17">
        <v>0</v>
      </c>
      <c r="W210" s="17">
        <v>0.013024848097846056</v>
      </c>
      <c r="X210" s="18">
        <v>3.1520132396787455</v>
      </c>
      <c r="Y210" s="18"/>
      <c r="Z210" s="19">
        <v>7.67168471405246E-07</v>
      </c>
      <c r="AA210" s="4">
        <v>0</v>
      </c>
      <c r="AB210" s="19">
        <v>0</v>
      </c>
      <c r="AC210" s="4">
        <v>0</v>
      </c>
      <c r="AD210" s="4">
        <v>0</v>
      </c>
      <c r="AE210" s="4">
        <v>0.0009283110404517729</v>
      </c>
      <c r="AF210" s="4">
        <v>5.2508332687822566E-08</v>
      </c>
      <c r="AG210" s="4">
        <v>0</v>
      </c>
      <c r="AH210" s="19">
        <v>0</v>
      </c>
      <c r="AI210" s="17">
        <v>0</v>
      </c>
      <c r="AJ210" s="4">
        <v>0</v>
      </c>
      <c r="AK210" s="4">
        <v>0</v>
      </c>
      <c r="AL210" s="4">
        <v>0</v>
      </c>
      <c r="AM210" s="4">
        <v>0</v>
      </c>
      <c r="AN210" s="4">
        <v>0</v>
      </c>
      <c r="AO210" s="4">
        <v>0</v>
      </c>
      <c r="AP210" s="6">
        <v>0.000929130717255866</v>
      </c>
      <c r="AQ210">
        <v>0.4210434422319815</v>
      </c>
      <c r="AR210">
        <f t="shared" si="38"/>
        <v>1</v>
      </c>
      <c r="AS210">
        <f t="shared" si="39"/>
        <v>1.3271345043951186</v>
      </c>
      <c r="AT210">
        <f t="shared" si="40"/>
        <v>3.1520132396787455</v>
      </c>
      <c r="AU210">
        <f t="shared" si="41"/>
        <v>2</v>
      </c>
      <c r="AV210">
        <f t="shared" si="42"/>
        <v>0</v>
      </c>
      <c r="AW210">
        <f t="shared" si="43"/>
        <v>0</v>
      </c>
    </row>
    <row r="211" spans="2:49" ht="12.75">
      <c r="B211" s="16" t="s">
        <v>20</v>
      </c>
      <c r="C211">
        <v>5</v>
      </c>
      <c r="G211" s="19">
        <v>8.107355583834627E-07</v>
      </c>
      <c r="H211" s="4">
        <v>0</v>
      </c>
      <c r="I211" s="4">
        <v>0</v>
      </c>
      <c r="J211" s="4">
        <v>0</v>
      </c>
      <c r="K211" s="4">
        <v>0</v>
      </c>
      <c r="L211" s="4">
        <v>4.4887313750040135E-05</v>
      </c>
      <c r="M211" s="4">
        <v>0.05612093130671108</v>
      </c>
      <c r="N211" s="27">
        <v>0</v>
      </c>
      <c r="O211" s="4">
        <v>0</v>
      </c>
      <c r="P211" s="4">
        <v>0</v>
      </c>
      <c r="Q211" s="4">
        <v>0</v>
      </c>
      <c r="R211" s="4">
        <v>0</v>
      </c>
      <c r="S211" s="4">
        <v>0</v>
      </c>
      <c r="T211" s="4">
        <v>0</v>
      </c>
      <c r="U211" s="4">
        <v>0</v>
      </c>
      <c r="V211" s="17">
        <v>0</v>
      </c>
      <c r="W211" s="17">
        <v>0.0561666293560195</v>
      </c>
      <c r="X211" s="18">
        <v>13.592324304156719</v>
      </c>
      <c r="Y211" s="18"/>
      <c r="Z211" s="19">
        <v>9.740465649510859E-12</v>
      </c>
      <c r="AA211" s="4">
        <v>0</v>
      </c>
      <c r="AB211" s="19">
        <v>0</v>
      </c>
      <c r="AC211" s="4">
        <v>0</v>
      </c>
      <c r="AD211" s="4">
        <v>0</v>
      </c>
      <c r="AE211" s="4">
        <v>1.178643562478439E-08</v>
      </c>
      <c r="AF211" s="4">
        <v>0.004135606938481208</v>
      </c>
      <c r="AG211" s="4">
        <v>0</v>
      </c>
      <c r="AH211" s="19">
        <v>0</v>
      </c>
      <c r="AI211" s="17">
        <v>0</v>
      </c>
      <c r="AJ211" s="4">
        <v>0</v>
      </c>
      <c r="AK211" s="4">
        <v>0</v>
      </c>
      <c r="AL211" s="4">
        <v>0</v>
      </c>
      <c r="AM211" s="4">
        <v>0</v>
      </c>
      <c r="AN211" s="4">
        <v>0</v>
      </c>
      <c r="AO211" s="4">
        <v>0</v>
      </c>
      <c r="AP211" s="6">
        <v>0.004135618734657298</v>
      </c>
      <c r="AQ211">
        <v>5.431597664663182</v>
      </c>
      <c r="AR211">
        <f t="shared" si="38"/>
        <v>0</v>
      </c>
      <c r="AS211">
        <f t="shared" si="39"/>
        <v>73.82803694780225</v>
      </c>
      <c r="AT211">
        <f t="shared" si="40"/>
        <v>0</v>
      </c>
      <c r="AU211">
        <f t="shared" si="41"/>
        <v>0</v>
      </c>
      <c r="AV211">
        <f t="shared" si="42"/>
        <v>5.431597664663182</v>
      </c>
      <c r="AW211">
        <f t="shared" si="43"/>
        <v>1</v>
      </c>
    </row>
    <row r="212" spans="2:49" ht="13.5" thickBot="1">
      <c r="B212" s="12" t="s">
        <v>21</v>
      </c>
      <c r="C212">
        <v>16</v>
      </c>
      <c r="G212" s="19">
        <v>8.107355583834627E-07</v>
      </c>
      <c r="H212" s="4">
        <v>0</v>
      </c>
      <c r="I212" s="4">
        <v>0</v>
      </c>
      <c r="J212" s="4">
        <v>0</v>
      </c>
      <c r="K212" s="4">
        <v>0</v>
      </c>
      <c r="L212" s="4">
        <v>4.4887313750040135E-05</v>
      </c>
      <c r="M212" s="4">
        <v>0.05612093130671108</v>
      </c>
      <c r="N212" s="27">
        <v>0</v>
      </c>
      <c r="O212" s="4">
        <v>0</v>
      </c>
      <c r="P212" s="4">
        <v>0</v>
      </c>
      <c r="Q212" s="4">
        <v>0</v>
      </c>
      <c r="R212" s="4">
        <v>0</v>
      </c>
      <c r="S212" s="4">
        <v>0</v>
      </c>
      <c r="T212" s="4">
        <v>0</v>
      </c>
      <c r="U212" s="4">
        <v>0</v>
      </c>
      <c r="V212" s="17">
        <v>0</v>
      </c>
      <c r="W212" s="17">
        <v>0.0561666293560195</v>
      </c>
      <c r="X212" s="18">
        <v>13.592324304156719</v>
      </c>
      <c r="Y212" s="18"/>
      <c r="Z212" s="19">
        <v>9.740465649510859E-12</v>
      </c>
      <c r="AA212" s="4">
        <v>0</v>
      </c>
      <c r="AB212" s="19">
        <v>0</v>
      </c>
      <c r="AC212" s="4">
        <v>0</v>
      </c>
      <c r="AD212" s="4">
        <v>0</v>
      </c>
      <c r="AE212" s="4">
        <v>1.178643562478439E-08</v>
      </c>
      <c r="AF212" s="4">
        <v>0.004135606938481208</v>
      </c>
      <c r="AG212" s="4">
        <v>0</v>
      </c>
      <c r="AH212" s="19">
        <v>0</v>
      </c>
      <c r="AI212" s="17">
        <v>0</v>
      </c>
      <c r="AJ212" s="4">
        <v>0</v>
      </c>
      <c r="AK212" s="4">
        <v>0</v>
      </c>
      <c r="AL212" s="4">
        <v>0</v>
      </c>
      <c r="AM212" s="4">
        <v>0</v>
      </c>
      <c r="AN212" s="4">
        <v>0</v>
      </c>
      <c r="AO212" s="4">
        <v>0</v>
      </c>
      <c r="AP212" s="6">
        <v>0.004135618734657298</v>
      </c>
      <c r="AQ212">
        <v>0.4264835157429002</v>
      </c>
      <c r="AR212">
        <f t="shared" si="38"/>
        <v>0</v>
      </c>
      <c r="AS212">
        <f t="shared" si="39"/>
        <v>5.796902256354428</v>
      </c>
      <c r="AT212">
        <f t="shared" si="40"/>
        <v>0</v>
      </c>
      <c r="AU212">
        <f t="shared" si="41"/>
        <v>0</v>
      </c>
      <c r="AV212">
        <f t="shared" si="42"/>
        <v>0.4264835157429002</v>
      </c>
      <c r="AW212">
        <f t="shared" si="43"/>
        <v>1</v>
      </c>
    </row>
    <row r="213" spans="3:50" ht="12.75">
      <c r="C213" s="2">
        <v>242</v>
      </c>
      <c r="D213" s="2">
        <v>0</v>
      </c>
      <c r="E213" s="2">
        <v>0</v>
      </c>
      <c r="F213" s="2">
        <v>0</v>
      </c>
      <c r="G213" s="33">
        <v>0.06748056707744281</v>
      </c>
      <c r="H213" s="2">
        <v>0</v>
      </c>
      <c r="I213" s="2">
        <v>0</v>
      </c>
      <c r="J213" s="2">
        <v>0</v>
      </c>
      <c r="K213" s="2">
        <v>0</v>
      </c>
      <c r="L213" s="2">
        <v>0.17094828325008565</v>
      </c>
      <c r="M213" s="2">
        <v>0.7615711496724715</v>
      </c>
      <c r="N213" s="29">
        <v>0</v>
      </c>
      <c r="O213" s="2">
        <v>0</v>
      </c>
      <c r="P213" s="2">
        <v>0</v>
      </c>
      <c r="Q213" s="2">
        <v>0</v>
      </c>
      <c r="R213" s="2">
        <v>0</v>
      </c>
      <c r="S213" s="2">
        <v>0</v>
      </c>
      <c r="T213" s="2">
        <v>0</v>
      </c>
      <c r="U213" s="2">
        <v>0</v>
      </c>
      <c r="V213" s="32">
        <v>0</v>
      </c>
      <c r="W213" s="32">
        <v>1</v>
      </c>
      <c r="X213" s="32">
        <v>242</v>
      </c>
      <c r="Y213" s="32"/>
      <c r="Z213" s="33">
        <v>0.02267059204878791</v>
      </c>
      <c r="AA213" s="2">
        <v>0</v>
      </c>
      <c r="AB213" s="2">
        <v>0</v>
      </c>
      <c r="AC213" s="2">
        <v>0</v>
      </c>
      <c r="AD213" s="2">
        <v>0</v>
      </c>
      <c r="AE213" s="2">
        <v>0.05743133110537874</v>
      </c>
      <c r="AF213" s="2">
        <v>0.25585542028028363</v>
      </c>
      <c r="AG213" s="2">
        <v>0</v>
      </c>
      <c r="AH213" s="2">
        <v>0</v>
      </c>
      <c r="AI213" s="2">
        <v>0</v>
      </c>
      <c r="AJ213" s="2">
        <v>0</v>
      </c>
      <c r="AK213" s="2">
        <v>0</v>
      </c>
      <c r="AL213" s="2">
        <v>0</v>
      </c>
      <c r="AM213" s="2">
        <v>0</v>
      </c>
      <c r="AN213" s="2">
        <v>0</v>
      </c>
      <c r="AO213" s="2">
        <v>0</v>
      </c>
      <c r="AP213" s="2">
        <v>0.3359573434344504</v>
      </c>
      <c r="AQ213" s="36">
        <v>60.032792839222964</v>
      </c>
      <c r="AR213" s="36">
        <f>SUM(AR197:AR212)</f>
        <v>8</v>
      </c>
      <c r="AT213">
        <f>SUM(AT197:AT212)</f>
        <v>17.091219144382215</v>
      </c>
      <c r="AU213">
        <f>SUM(AU197:AU212)</f>
        <v>19</v>
      </c>
      <c r="AV213" s="36">
        <f>SUM(AV197:AV212)</f>
        <v>51.0281454644284</v>
      </c>
      <c r="AW213" s="36">
        <f>SUM(AW197:AW212)</f>
        <v>8</v>
      </c>
      <c r="AX213" t="s">
        <v>64</v>
      </c>
    </row>
    <row r="214" spans="13:48" ht="12.75">
      <c r="M214" s="15"/>
      <c r="N214" s="15"/>
      <c r="AQ214" t="s">
        <v>38</v>
      </c>
      <c r="AU214" s="36">
        <f>POWER(AT213-AU213,2)/AT213</f>
        <v>0.21317638747675538</v>
      </c>
      <c r="AV214" s="41">
        <f>AV213+AU214</f>
        <v>51.241321851905155</v>
      </c>
    </row>
    <row r="215" spans="5:47" ht="12.75">
      <c r="E215" t="s">
        <v>106</v>
      </c>
      <c r="F215">
        <v>0</v>
      </c>
      <c r="M215" s="15"/>
      <c r="N215" s="15"/>
      <c r="AP215" t="s">
        <v>106</v>
      </c>
      <c r="AU215" t="s">
        <v>61</v>
      </c>
    </row>
    <row r="216" ht="12.75">
      <c r="AP216" t="s">
        <v>0</v>
      </c>
    </row>
    <row r="217" ht="12.75">
      <c r="A217" t="s">
        <v>70</v>
      </c>
    </row>
    <row r="219" ht="12.75">
      <c r="D219" t="s">
        <v>50</v>
      </c>
    </row>
    <row r="220" ht="12.75">
      <c r="D220" s="9" t="s">
        <v>36</v>
      </c>
    </row>
    <row r="221" spans="1:2" ht="12.75">
      <c r="A221" t="s">
        <v>35</v>
      </c>
      <c r="B221" s="1">
        <v>0.1666091443573717</v>
      </c>
    </row>
    <row r="223" ht="12.75">
      <c r="E223" t="s">
        <v>49</v>
      </c>
    </row>
    <row r="224" spans="2:3" ht="12.75">
      <c r="B224" t="s">
        <v>98</v>
      </c>
      <c r="C224" s="1">
        <v>0.04868295294128675</v>
      </c>
    </row>
    <row r="225" spans="2:26" ht="12.75">
      <c r="B225" t="s">
        <v>99</v>
      </c>
      <c r="C225" s="1">
        <v>0</v>
      </c>
      <c r="Z225" s="21" t="s">
        <v>34</v>
      </c>
    </row>
    <row r="226" spans="2:3" ht="12.75">
      <c r="B226" t="s">
        <v>100</v>
      </c>
      <c r="C226" s="1">
        <v>0.2843471435225327</v>
      </c>
    </row>
    <row r="227" spans="2:42" ht="12.75">
      <c r="B227" t="s">
        <v>5</v>
      </c>
      <c r="C227" s="1">
        <v>0.16197236682883956</v>
      </c>
      <c r="G227" s="21" t="s">
        <v>107</v>
      </c>
      <c r="Z227" s="21" t="s">
        <v>101</v>
      </c>
      <c r="AP227" t="s">
        <v>108</v>
      </c>
    </row>
    <row r="228" spans="23:43" ht="12.75">
      <c r="W228" s="30" t="s">
        <v>22</v>
      </c>
      <c r="X228" s="15" t="s">
        <v>2</v>
      </c>
      <c r="AP228" t="s">
        <v>22</v>
      </c>
      <c r="AQ228" t="s">
        <v>37</v>
      </c>
    </row>
    <row r="229" spans="5:52" ht="12.75">
      <c r="E229" s="2"/>
      <c r="F229" s="2"/>
      <c r="G229" s="37">
        <v>0.07268469481797209</v>
      </c>
      <c r="H229" s="5">
        <v>0</v>
      </c>
      <c r="I229" s="5">
        <v>0</v>
      </c>
      <c r="J229" s="5">
        <v>0</v>
      </c>
      <c r="K229" s="5">
        <v>0</v>
      </c>
      <c r="L229" s="38">
        <v>0.1874494189654087</v>
      </c>
      <c r="M229" s="5">
        <v>0</v>
      </c>
      <c r="N229" s="40">
        <v>0.7398658862166191</v>
      </c>
      <c r="O229" s="5">
        <v>0</v>
      </c>
      <c r="P229" s="5">
        <v>0</v>
      </c>
      <c r="Q229" s="5">
        <v>0</v>
      </c>
      <c r="R229" s="5">
        <v>0</v>
      </c>
      <c r="S229" s="5">
        <v>0</v>
      </c>
      <c r="T229" s="5">
        <v>0</v>
      </c>
      <c r="U229" s="5">
        <v>0</v>
      </c>
      <c r="V229" s="30">
        <v>0</v>
      </c>
      <c r="W229" s="17">
        <v>1</v>
      </c>
      <c r="X229" s="15" t="s">
        <v>97</v>
      </c>
      <c r="Z229" s="34">
        <v>0.07268469481797209</v>
      </c>
      <c r="AA229" s="8">
        <v>0</v>
      </c>
      <c r="AB229" s="8">
        <v>0</v>
      </c>
      <c r="AC229" s="8">
        <v>0</v>
      </c>
      <c r="AD229" s="8">
        <v>0</v>
      </c>
      <c r="AE229" s="8">
        <v>0.1874494189654087</v>
      </c>
      <c r="AF229" s="8">
        <v>0</v>
      </c>
      <c r="AG229" s="8">
        <v>0.7398658862166191</v>
      </c>
      <c r="AH229" s="34">
        <v>0</v>
      </c>
      <c r="AI229" s="35">
        <v>0</v>
      </c>
      <c r="AJ229" s="8">
        <v>0</v>
      </c>
      <c r="AK229" s="8">
        <v>0</v>
      </c>
      <c r="AL229" s="8">
        <v>0</v>
      </c>
      <c r="AM229" s="8">
        <v>0</v>
      </c>
      <c r="AN229" s="8">
        <v>0</v>
      </c>
      <c r="AO229" s="8">
        <v>0</v>
      </c>
      <c r="AP229" s="6">
        <v>1</v>
      </c>
      <c r="AX229" s="53" t="s">
        <v>90</v>
      </c>
      <c r="AY229" s="53" t="s">
        <v>91</v>
      </c>
      <c r="AZ229" s="53"/>
    </row>
    <row r="230" spans="2:52" ht="12.75">
      <c r="B230" t="s">
        <v>1</v>
      </c>
      <c r="C230" t="s">
        <v>102</v>
      </c>
      <c r="D230" t="s">
        <v>103</v>
      </c>
      <c r="E230" t="s">
        <v>104</v>
      </c>
      <c r="F230" t="s">
        <v>105</v>
      </c>
      <c r="G230" s="23" t="s">
        <v>6</v>
      </c>
      <c r="H230" s="7" t="s">
        <v>8</v>
      </c>
      <c r="I230" s="7" t="s">
        <v>9</v>
      </c>
      <c r="J230" s="7" t="s">
        <v>10</v>
      </c>
      <c r="K230" s="7" t="s">
        <v>11</v>
      </c>
      <c r="L230" s="7" t="s">
        <v>12</v>
      </c>
      <c r="M230" s="7" t="s">
        <v>13</v>
      </c>
      <c r="N230" s="26" t="s">
        <v>14</v>
      </c>
      <c r="O230" s="7" t="s">
        <v>7</v>
      </c>
      <c r="P230" s="7" t="s">
        <v>15</v>
      </c>
      <c r="Q230" s="7" t="s">
        <v>16</v>
      </c>
      <c r="R230" s="7" t="s">
        <v>17</v>
      </c>
      <c r="S230" s="7" t="s">
        <v>18</v>
      </c>
      <c r="T230" s="7" t="s">
        <v>19</v>
      </c>
      <c r="U230" s="7" t="s">
        <v>20</v>
      </c>
      <c r="V230" s="31" t="s">
        <v>21</v>
      </c>
      <c r="W230" s="31"/>
      <c r="Z230" s="23" t="s">
        <v>6</v>
      </c>
      <c r="AA230" s="7" t="s">
        <v>8</v>
      </c>
      <c r="AB230" s="7" t="s">
        <v>9</v>
      </c>
      <c r="AC230" s="7" t="s">
        <v>10</v>
      </c>
      <c r="AD230" s="7" t="s">
        <v>11</v>
      </c>
      <c r="AE230" s="7" t="s">
        <v>12</v>
      </c>
      <c r="AF230" s="7" t="s">
        <v>13</v>
      </c>
      <c r="AG230" s="26" t="s">
        <v>14</v>
      </c>
      <c r="AH230" s="7" t="s">
        <v>7</v>
      </c>
      <c r="AI230" s="7" t="s">
        <v>15</v>
      </c>
      <c r="AJ230" s="7" t="s">
        <v>16</v>
      </c>
      <c r="AK230" s="7" t="s">
        <v>17</v>
      </c>
      <c r="AL230" s="7" t="s">
        <v>18</v>
      </c>
      <c r="AM230" s="7" t="s">
        <v>19</v>
      </c>
      <c r="AN230" s="7" t="s">
        <v>20</v>
      </c>
      <c r="AO230" s="31" t="s">
        <v>21</v>
      </c>
      <c r="AP230" s="6"/>
      <c r="AR230" t="s">
        <v>58</v>
      </c>
      <c r="AS230" t="s">
        <v>59</v>
      </c>
      <c r="AT230" t="s">
        <v>60</v>
      </c>
      <c r="AU230" t="s">
        <v>62</v>
      </c>
      <c r="AW230" t="s">
        <v>63</v>
      </c>
      <c r="AX230" s="53"/>
      <c r="AY230" s="53"/>
      <c r="AZ230" s="53"/>
    </row>
    <row r="231" spans="2:52" ht="12.75">
      <c r="B231" s="16" t="s">
        <v>6</v>
      </c>
      <c r="C231">
        <v>6</v>
      </c>
      <c r="G231" s="19">
        <v>0.04146951907204162</v>
      </c>
      <c r="H231" s="4">
        <v>0</v>
      </c>
      <c r="I231" s="4">
        <v>0</v>
      </c>
      <c r="J231" s="4">
        <v>0</v>
      </c>
      <c r="K231" s="4">
        <v>0</v>
      </c>
      <c r="L231" s="4">
        <v>0.0021745441062217294</v>
      </c>
      <c r="M231" s="4">
        <v>0</v>
      </c>
      <c r="N231" s="27">
        <v>0</v>
      </c>
      <c r="O231" s="4">
        <v>0</v>
      </c>
      <c r="P231" s="4">
        <v>0</v>
      </c>
      <c r="Q231" s="4">
        <v>0</v>
      </c>
      <c r="R231" s="4">
        <v>0</v>
      </c>
      <c r="S231" s="4">
        <v>0</v>
      </c>
      <c r="T231" s="4">
        <v>0</v>
      </c>
      <c r="U231" s="4">
        <v>0</v>
      </c>
      <c r="V231" s="17">
        <v>0</v>
      </c>
      <c r="W231" s="17">
        <v>0.043644063178263345</v>
      </c>
      <c r="X231" s="18">
        <v>10.56186328913973</v>
      </c>
      <c r="Y231" s="18"/>
      <c r="Z231" s="19">
        <v>0.02366001558337978</v>
      </c>
      <c r="AA231" s="4">
        <v>0</v>
      </c>
      <c r="AB231" s="4">
        <v>0</v>
      </c>
      <c r="AC231" s="4">
        <v>0</v>
      </c>
      <c r="AD231" s="4">
        <v>0</v>
      </c>
      <c r="AE231" s="4">
        <v>2.5226229539693953E-05</v>
      </c>
      <c r="AF231" s="4">
        <v>0</v>
      </c>
      <c r="AG231" s="4">
        <v>0</v>
      </c>
      <c r="AH231" s="19">
        <v>0</v>
      </c>
      <c r="AI231" s="17">
        <v>0</v>
      </c>
      <c r="AJ231" s="4">
        <v>0</v>
      </c>
      <c r="AK231" s="4">
        <v>0</v>
      </c>
      <c r="AL231" s="4">
        <v>0</v>
      </c>
      <c r="AM231" s="4">
        <v>0</v>
      </c>
      <c r="AN231" s="4">
        <v>0</v>
      </c>
      <c r="AO231" s="4">
        <v>0</v>
      </c>
      <c r="AP231" s="6">
        <v>0.023685241812919474</v>
      </c>
      <c r="AQ231">
        <v>1.9703527776390852</v>
      </c>
      <c r="AR231">
        <f>IF(X231&lt;4,1,0)</f>
        <v>0</v>
      </c>
      <c r="AS231">
        <f>POWER(C231-X231,2)</f>
        <v>20.810596668800752</v>
      </c>
      <c r="AT231">
        <f>AR231*X231</f>
        <v>0</v>
      </c>
      <c r="AU231">
        <f>IF(AR231=1,C231,0)</f>
        <v>0</v>
      </c>
      <c r="AV231">
        <f>IF(AR231=0,AQ231,0)</f>
        <v>1.9703527776390852</v>
      </c>
      <c r="AW231">
        <f>IF(AV231&gt;0.00001,1,0)</f>
        <v>1</v>
      </c>
      <c r="AX231" s="53">
        <f>100*(C235+C236+C237+C238+C243+C244+C245+C246)/C247</f>
        <v>90.08264462809917</v>
      </c>
      <c r="AY231" s="53">
        <f>100*(X235+X236+X237+X238+X243+X244+X245+X246)/X247</f>
        <v>88.57093633954912</v>
      </c>
      <c r="AZ231" s="53" t="s">
        <v>93</v>
      </c>
    </row>
    <row r="232" spans="2:52" ht="12.75">
      <c r="B232" s="16" t="s">
        <v>8</v>
      </c>
      <c r="C232">
        <v>5</v>
      </c>
      <c r="G232" s="19">
        <v>0.016476898240061023</v>
      </c>
      <c r="H232" s="4">
        <v>0</v>
      </c>
      <c r="I232" s="4">
        <v>0</v>
      </c>
      <c r="J232" s="4">
        <v>0</v>
      </c>
      <c r="K232" s="4">
        <v>0</v>
      </c>
      <c r="L232" s="4">
        <v>0.005472953523904493</v>
      </c>
      <c r="M232" s="4">
        <v>0</v>
      </c>
      <c r="N232" s="27">
        <v>0</v>
      </c>
      <c r="O232" s="4">
        <v>0</v>
      </c>
      <c r="P232" s="4">
        <v>0</v>
      </c>
      <c r="Q232" s="4">
        <v>0</v>
      </c>
      <c r="R232" s="4">
        <v>0</v>
      </c>
      <c r="S232" s="4">
        <v>0</v>
      </c>
      <c r="T232" s="4">
        <v>0</v>
      </c>
      <c r="U232" s="4">
        <v>0</v>
      </c>
      <c r="V232" s="17">
        <v>0</v>
      </c>
      <c r="W232" s="17">
        <v>0.021949851763965515</v>
      </c>
      <c r="X232" s="18">
        <v>5.311864126879654</v>
      </c>
      <c r="Y232" s="18"/>
      <c r="Z232" s="19">
        <v>0.0037351491437534056</v>
      </c>
      <c r="AA232" s="4">
        <v>0</v>
      </c>
      <c r="AB232" s="4">
        <v>0</v>
      </c>
      <c r="AC232" s="4">
        <v>0</v>
      </c>
      <c r="AD232" s="4">
        <v>0</v>
      </c>
      <c r="AE232" s="4">
        <v>0.00015979361493964446</v>
      </c>
      <c r="AF232" s="4">
        <v>0</v>
      </c>
      <c r="AG232" s="4">
        <v>0</v>
      </c>
      <c r="AH232" s="19">
        <v>0</v>
      </c>
      <c r="AI232" s="17">
        <v>0</v>
      </c>
      <c r="AJ232" s="4">
        <v>0</v>
      </c>
      <c r="AK232" s="4">
        <v>0</v>
      </c>
      <c r="AL232" s="4">
        <v>0</v>
      </c>
      <c r="AM232" s="4">
        <v>0</v>
      </c>
      <c r="AN232" s="4">
        <v>0</v>
      </c>
      <c r="AO232" s="4">
        <v>0</v>
      </c>
      <c r="AP232" s="6">
        <v>0.00389494275869305</v>
      </c>
      <c r="AQ232">
        <v>0.018309812019145534</v>
      </c>
      <c r="AR232">
        <f aca="true" t="shared" si="44" ref="AR232:AR246">IF(X232&lt;4,1,0)</f>
        <v>0</v>
      </c>
      <c r="AS232">
        <f aca="true" t="shared" si="45" ref="AS232:AS246">POWER(C232-X232,2)</f>
        <v>0.0972592336344091</v>
      </c>
      <c r="AT232">
        <f aca="true" t="shared" si="46" ref="AT232:AT246">AR232*X232</f>
        <v>0</v>
      </c>
      <c r="AU232">
        <f aca="true" t="shared" si="47" ref="AU232:AU246">IF(AR232=1,C232,0)</f>
        <v>0</v>
      </c>
      <c r="AV232">
        <f aca="true" t="shared" si="48" ref="AV232:AV246">IF(AR232=0,AQ232,0)</f>
        <v>0.018309812019145534</v>
      </c>
      <c r="AW232">
        <f aca="true" t="shared" si="49" ref="AW232:AW246">IF(AV232&gt;0.00001,1,0)</f>
        <v>1</v>
      </c>
      <c r="AX232" s="53">
        <f>100*(C233+C234+C237+C238+C241+C242+C245+C246)/C247</f>
        <v>75.20661157024793</v>
      </c>
      <c r="AY232" s="53">
        <f>100*(X233+X234+X237+X238+X241+X242+X245+X246)/X247</f>
        <v>73.98658862166191</v>
      </c>
      <c r="AZ232" s="53" t="s">
        <v>94</v>
      </c>
    </row>
    <row r="233" spans="2:52" ht="12.75">
      <c r="B233" s="16" t="s">
        <v>9</v>
      </c>
      <c r="C233">
        <v>2</v>
      </c>
      <c r="G233" s="19">
        <v>0</v>
      </c>
      <c r="H233" s="4">
        <v>0</v>
      </c>
      <c r="I233" s="4">
        <v>0</v>
      </c>
      <c r="J233" s="4">
        <v>0</v>
      </c>
      <c r="K233" s="4">
        <v>0</v>
      </c>
      <c r="L233" s="4">
        <v>0</v>
      </c>
      <c r="M233" s="4">
        <v>0</v>
      </c>
      <c r="N233" s="27">
        <v>0.008582960732269655</v>
      </c>
      <c r="O233" s="4">
        <v>0</v>
      </c>
      <c r="P233" s="4">
        <v>0</v>
      </c>
      <c r="Q233" s="4">
        <v>0</v>
      </c>
      <c r="R233" s="4">
        <v>0</v>
      </c>
      <c r="S233" s="4">
        <v>0</v>
      </c>
      <c r="T233" s="4">
        <v>0</v>
      </c>
      <c r="U233" s="4">
        <v>0</v>
      </c>
      <c r="V233" s="17">
        <v>0</v>
      </c>
      <c r="W233" s="17">
        <v>0.008582960732269655</v>
      </c>
      <c r="X233" s="18">
        <v>2.0770764972092564</v>
      </c>
      <c r="Y233" s="18"/>
      <c r="Z233" s="19">
        <v>0</v>
      </c>
      <c r="AA233" s="4">
        <v>0</v>
      </c>
      <c r="AB233" s="4">
        <v>0</v>
      </c>
      <c r="AC233" s="4">
        <v>0</v>
      </c>
      <c r="AD233" s="4">
        <v>0</v>
      </c>
      <c r="AE233" s="4">
        <v>0</v>
      </c>
      <c r="AF233" s="4">
        <v>0</v>
      </c>
      <c r="AG233" s="4">
        <v>9.956833569984934E-05</v>
      </c>
      <c r="AH233" s="19">
        <v>0</v>
      </c>
      <c r="AI233" s="17">
        <v>0</v>
      </c>
      <c r="AJ233" s="4">
        <v>0</v>
      </c>
      <c r="AK233" s="4">
        <v>0</v>
      </c>
      <c r="AL233" s="4">
        <v>0</v>
      </c>
      <c r="AM233" s="4">
        <v>0</v>
      </c>
      <c r="AN233" s="4">
        <v>0</v>
      </c>
      <c r="AO233" s="4">
        <v>0</v>
      </c>
      <c r="AP233" s="6">
        <v>9.956833569984934E-05</v>
      </c>
      <c r="AQ233">
        <v>0.0028601673698732313</v>
      </c>
      <c r="AR233">
        <f t="shared" si="44"/>
        <v>1</v>
      </c>
      <c r="AS233">
        <f t="shared" si="45"/>
        <v>0.005940786422048503</v>
      </c>
      <c r="AT233">
        <f t="shared" si="46"/>
        <v>2.0770764972092564</v>
      </c>
      <c r="AU233">
        <f t="shared" si="47"/>
        <v>2</v>
      </c>
      <c r="AV233">
        <f t="shared" si="48"/>
        <v>0</v>
      </c>
      <c r="AW233">
        <f t="shared" si="49"/>
        <v>0</v>
      </c>
      <c r="AX233" s="53">
        <f>100*(C232+C234+C236+C238+C240+C242+C244+C246)/C247</f>
        <v>70.66115702479338</v>
      </c>
      <c r="AY233" s="53">
        <f>100*(X232+X234+X236+X238+X240+X242+X244+X246)/X247</f>
        <v>68.430353235809</v>
      </c>
      <c r="AZ233" s="53" t="s">
        <v>95</v>
      </c>
    </row>
    <row r="234" spans="2:52" ht="12.75">
      <c r="B234" s="16" t="s">
        <v>10</v>
      </c>
      <c r="C234">
        <v>3</v>
      </c>
      <c r="G234" s="19">
        <v>0</v>
      </c>
      <c r="H234" s="4">
        <v>0</v>
      </c>
      <c r="I234" s="4">
        <v>0</v>
      </c>
      <c r="J234" s="4">
        <v>0</v>
      </c>
      <c r="K234" s="4">
        <v>0</v>
      </c>
      <c r="L234" s="4">
        <v>0</v>
      </c>
      <c r="M234" s="4">
        <v>0</v>
      </c>
      <c r="N234" s="27">
        <v>0.021601836012803015</v>
      </c>
      <c r="O234" s="4">
        <v>0</v>
      </c>
      <c r="P234" s="4">
        <v>0</v>
      </c>
      <c r="Q234" s="4">
        <v>0</v>
      </c>
      <c r="R234" s="4">
        <v>0</v>
      </c>
      <c r="S234" s="4">
        <v>0</v>
      </c>
      <c r="T234" s="4">
        <v>0</v>
      </c>
      <c r="U234" s="4">
        <v>0</v>
      </c>
      <c r="V234" s="17">
        <v>0</v>
      </c>
      <c r="W234" s="17">
        <v>0.021601836012803015</v>
      </c>
      <c r="X234" s="18">
        <v>5.227644315098329</v>
      </c>
      <c r="Y234" s="18"/>
      <c r="Z234" s="19">
        <v>0</v>
      </c>
      <c r="AA234" s="4">
        <v>0</v>
      </c>
      <c r="AB234" s="4">
        <v>0</v>
      </c>
      <c r="AC234" s="4">
        <v>0</v>
      </c>
      <c r="AD234" s="4">
        <v>0</v>
      </c>
      <c r="AE234" s="4">
        <v>0</v>
      </c>
      <c r="AF234" s="4">
        <v>0</v>
      </c>
      <c r="AG234" s="4">
        <v>0.0006307079807534332</v>
      </c>
      <c r="AH234" s="19">
        <v>0</v>
      </c>
      <c r="AI234" s="17">
        <v>0</v>
      </c>
      <c r="AJ234" s="4">
        <v>0</v>
      </c>
      <c r="AK234" s="4">
        <v>0</v>
      </c>
      <c r="AL234" s="4">
        <v>0</v>
      </c>
      <c r="AM234" s="4">
        <v>0</v>
      </c>
      <c r="AN234" s="4">
        <v>0</v>
      </c>
      <c r="AO234" s="4">
        <v>0</v>
      </c>
      <c r="AP234" s="6">
        <v>0.0006307079807534332</v>
      </c>
      <c r="AQ234">
        <v>0.9492610620538295</v>
      </c>
      <c r="AR234">
        <f t="shared" si="44"/>
        <v>0</v>
      </c>
      <c r="AS234">
        <f t="shared" si="45"/>
        <v>4.962399194589905</v>
      </c>
      <c r="AT234">
        <f t="shared" si="46"/>
        <v>0</v>
      </c>
      <c r="AU234">
        <f t="shared" si="47"/>
        <v>0</v>
      </c>
      <c r="AV234">
        <f t="shared" si="48"/>
        <v>0.9492610620538295</v>
      </c>
      <c r="AW234">
        <f t="shared" si="49"/>
        <v>1</v>
      </c>
      <c r="AX234" s="53">
        <f>100*(C239+C240+C241+C242+C243+C244+C245+C246)/C247</f>
        <v>14.462809917355372</v>
      </c>
      <c r="AY234" s="53">
        <f>100*(X239+X240+X241+X242+X243+X244+X245+X246)/X247</f>
        <v>16.197236682883954</v>
      </c>
      <c r="AZ234" s="53" t="s">
        <v>96</v>
      </c>
    </row>
    <row r="235" spans="2:49" ht="12.75">
      <c r="B235" s="3" t="s">
        <v>11</v>
      </c>
      <c r="C235">
        <v>12</v>
      </c>
      <c r="G235" s="19">
        <v>0.0021221722576336803</v>
      </c>
      <c r="H235" s="4">
        <v>0</v>
      </c>
      <c r="I235" s="4">
        <v>0</v>
      </c>
      <c r="J235" s="4">
        <v>0</v>
      </c>
      <c r="K235" s="4">
        <v>0</v>
      </c>
      <c r="L235" s="4">
        <v>0.042492921091386596</v>
      </c>
      <c r="M235" s="4">
        <v>0</v>
      </c>
      <c r="N235" s="27">
        <v>0</v>
      </c>
      <c r="O235" s="4">
        <v>0</v>
      </c>
      <c r="P235" s="4">
        <v>0</v>
      </c>
      <c r="Q235" s="4">
        <v>0</v>
      </c>
      <c r="R235" s="4">
        <v>0</v>
      </c>
      <c r="S235" s="4">
        <v>0</v>
      </c>
      <c r="T235" s="4">
        <v>0</v>
      </c>
      <c r="U235" s="4">
        <v>0</v>
      </c>
      <c r="V235" s="17">
        <v>0</v>
      </c>
      <c r="W235" s="17">
        <v>0.04461509334902028</v>
      </c>
      <c r="X235" s="18">
        <v>10.796852590462908</v>
      </c>
      <c r="Y235" s="18"/>
      <c r="Z235" s="19">
        <v>6.196098232714135E-05</v>
      </c>
      <c r="AA235" s="4">
        <v>0</v>
      </c>
      <c r="AB235" s="4">
        <v>0</v>
      </c>
      <c r="AC235" s="4">
        <v>0</v>
      </c>
      <c r="AD235" s="4">
        <v>0</v>
      </c>
      <c r="AE235" s="4">
        <v>0.009632723071881146</v>
      </c>
      <c r="AF235" s="4">
        <v>0</v>
      </c>
      <c r="AG235" s="4">
        <v>0</v>
      </c>
      <c r="AH235" s="19">
        <v>0</v>
      </c>
      <c r="AI235" s="17">
        <v>0</v>
      </c>
      <c r="AJ235" s="4">
        <v>0</v>
      </c>
      <c r="AK235" s="4">
        <v>0</v>
      </c>
      <c r="AL235" s="4">
        <v>0</v>
      </c>
      <c r="AM235" s="4">
        <v>0</v>
      </c>
      <c r="AN235" s="4">
        <v>0</v>
      </c>
      <c r="AO235" s="4">
        <v>0</v>
      </c>
      <c r="AP235" s="6">
        <v>0.009694684054208287</v>
      </c>
      <c r="AQ235">
        <v>0.13407274730734756</v>
      </c>
      <c r="AR235">
        <f t="shared" si="44"/>
        <v>0</v>
      </c>
      <c r="AS235">
        <f t="shared" si="45"/>
        <v>1.4475636890758143</v>
      </c>
      <c r="AT235">
        <f t="shared" si="46"/>
        <v>0</v>
      </c>
      <c r="AU235">
        <f t="shared" si="47"/>
        <v>0</v>
      </c>
      <c r="AV235">
        <f t="shared" si="48"/>
        <v>0.13407274730734756</v>
      </c>
      <c r="AW235">
        <f t="shared" si="49"/>
        <v>1</v>
      </c>
    </row>
    <row r="236" spans="1:50" ht="12.75">
      <c r="A236" s="15"/>
      <c r="B236" s="16" t="s">
        <v>12</v>
      </c>
      <c r="C236">
        <v>25</v>
      </c>
      <c r="G236" s="19">
        <v>0.0008431931963369458</v>
      </c>
      <c r="H236" s="17">
        <v>0</v>
      </c>
      <c r="I236" s="17">
        <v>0</v>
      </c>
      <c r="J236" s="17">
        <v>0</v>
      </c>
      <c r="K236" s="17">
        <v>0</v>
      </c>
      <c r="L236" s="17">
        <v>0.1069473741933779</v>
      </c>
      <c r="M236" s="17">
        <v>0</v>
      </c>
      <c r="N236" s="27">
        <v>0</v>
      </c>
      <c r="O236" s="17">
        <v>0</v>
      </c>
      <c r="P236" s="17">
        <v>0</v>
      </c>
      <c r="Q236" s="17">
        <v>0</v>
      </c>
      <c r="R236" s="17">
        <v>0</v>
      </c>
      <c r="S236" s="17">
        <v>0</v>
      </c>
      <c r="T236" s="17">
        <v>0</v>
      </c>
      <c r="U236" s="17">
        <v>0</v>
      </c>
      <c r="V236" s="17">
        <v>0</v>
      </c>
      <c r="W236" s="17">
        <v>0.10779056738971485</v>
      </c>
      <c r="X236" s="18">
        <v>26.085317308310994</v>
      </c>
      <c r="Y236" s="18"/>
      <c r="Z236" s="19">
        <v>9.781629655726628E-06</v>
      </c>
      <c r="AA236" s="4">
        <v>0</v>
      </c>
      <c r="AB236" s="4">
        <v>0</v>
      </c>
      <c r="AC236" s="17">
        <v>0</v>
      </c>
      <c r="AD236" s="17">
        <v>0</v>
      </c>
      <c r="AE236" s="17">
        <v>0.06101774500015428</v>
      </c>
      <c r="AF236" s="17">
        <v>0</v>
      </c>
      <c r="AG236" s="17">
        <v>0</v>
      </c>
      <c r="AH236" s="19">
        <v>0</v>
      </c>
      <c r="AI236" s="17">
        <v>0</v>
      </c>
      <c r="AJ236" s="17">
        <v>0</v>
      </c>
      <c r="AK236" s="17">
        <v>0</v>
      </c>
      <c r="AL236" s="17">
        <v>0</v>
      </c>
      <c r="AM236" s="17">
        <v>0</v>
      </c>
      <c r="AN236" s="17">
        <v>0</v>
      </c>
      <c r="AO236" s="17">
        <v>0</v>
      </c>
      <c r="AP236" s="6">
        <v>0.06102752662981</v>
      </c>
      <c r="AQ236">
        <v>0.04515619441378729</v>
      </c>
      <c r="AR236">
        <f t="shared" si="44"/>
        <v>0</v>
      </c>
      <c r="AS236">
        <f t="shared" si="45"/>
        <v>1.177913659719422</v>
      </c>
      <c r="AT236">
        <f t="shared" si="46"/>
        <v>0</v>
      </c>
      <c r="AU236">
        <f t="shared" si="47"/>
        <v>0</v>
      </c>
      <c r="AV236">
        <f t="shared" si="48"/>
        <v>0.04515619441378729</v>
      </c>
      <c r="AW236">
        <f t="shared" si="49"/>
        <v>1</v>
      </c>
      <c r="AX236" s="15"/>
    </row>
    <row r="237" spans="1:50" ht="12.75">
      <c r="A237" s="15"/>
      <c r="B237" s="16" t="s">
        <v>13</v>
      </c>
      <c r="C237">
        <v>39</v>
      </c>
      <c r="G237" s="19">
        <v>0</v>
      </c>
      <c r="H237" s="17">
        <v>0</v>
      </c>
      <c r="I237" s="17">
        <v>0</v>
      </c>
      <c r="J237" s="17">
        <v>0</v>
      </c>
      <c r="K237" s="17">
        <v>0</v>
      </c>
      <c r="L237" s="17">
        <v>0</v>
      </c>
      <c r="M237" s="17">
        <v>0</v>
      </c>
      <c r="N237" s="27">
        <v>0.16772024631889237</v>
      </c>
      <c r="O237" s="17">
        <v>0</v>
      </c>
      <c r="P237" s="17">
        <v>0</v>
      </c>
      <c r="Q237" s="17">
        <v>0</v>
      </c>
      <c r="R237" s="17">
        <v>0</v>
      </c>
      <c r="S237" s="17">
        <v>0</v>
      </c>
      <c r="T237" s="17">
        <v>0</v>
      </c>
      <c r="U237" s="17">
        <v>0</v>
      </c>
      <c r="V237" s="17">
        <v>0</v>
      </c>
      <c r="W237" s="17">
        <v>0.16772024631889237</v>
      </c>
      <c r="X237" s="18">
        <v>40.588299609171955</v>
      </c>
      <c r="Y237" s="18"/>
      <c r="Z237" s="19">
        <v>0</v>
      </c>
      <c r="AA237" s="4">
        <v>0</v>
      </c>
      <c r="AB237" s="4">
        <v>0</v>
      </c>
      <c r="AC237" s="17">
        <v>0</v>
      </c>
      <c r="AD237" s="17">
        <v>0</v>
      </c>
      <c r="AE237" s="17">
        <v>0</v>
      </c>
      <c r="AF237" s="17">
        <v>0</v>
      </c>
      <c r="AG237" s="17">
        <v>0.038020513648920916</v>
      </c>
      <c r="AH237" s="19">
        <v>0</v>
      </c>
      <c r="AI237" s="17">
        <v>0</v>
      </c>
      <c r="AJ237" s="17">
        <v>0</v>
      </c>
      <c r="AK237" s="17">
        <v>0</v>
      </c>
      <c r="AL237" s="17">
        <v>0</v>
      </c>
      <c r="AM237" s="17">
        <v>0</v>
      </c>
      <c r="AN237" s="17">
        <v>0</v>
      </c>
      <c r="AO237" s="17">
        <v>0</v>
      </c>
      <c r="AP237" s="6">
        <v>0.038020513648920916</v>
      </c>
      <c r="AQ237">
        <v>0.062153272563448735</v>
      </c>
      <c r="AR237">
        <f t="shared" si="44"/>
        <v>0</v>
      </c>
      <c r="AS237">
        <f t="shared" si="45"/>
        <v>2.5226956484957843</v>
      </c>
      <c r="AT237">
        <f t="shared" si="46"/>
        <v>0</v>
      </c>
      <c r="AU237">
        <f t="shared" si="47"/>
        <v>0</v>
      </c>
      <c r="AV237">
        <f t="shared" si="48"/>
        <v>0.062153272563448735</v>
      </c>
      <c r="AW237">
        <f t="shared" si="49"/>
        <v>1</v>
      </c>
      <c r="AX237" s="15"/>
    </row>
    <row r="238" spans="1:50" ht="13.5" thickBot="1">
      <c r="A238" s="11" t="s">
        <v>4</v>
      </c>
      <c r="B238" s="12" t="s">
        <v>14</v>
      </c>
      <c r="C238">
        <v>115</v>
      </c>
      <c r="G238" s="20">
        <v>0</v>
      </c>
      <c r="H238" s="13">
        <v>0</v>
      </c>
      <c r="I238" s="13">
        <v>0</v>
      </c>
      <c r="J238" s="13">
        <v>0</v>
      </c>
      <c r="K238" s="13">
        <v>0</v>
      </c>
      <c r="L238" s="13">
        <v>0</v>
      </c>
      <c r="M238" s="13">
        <v>0</v>
      </c>
      <c r="N238" s="28">
        <v>0.4221230144262314</v>
      </c>
      <c r="O238" s="13">
        <v>0</v>
      </c>
      <c r="P238" s="13">
        <v>0</v>
      </c>
      <c r="Q238" s="13">
        <v>0</v>
      </c>
      <c r="R238" s="13">
        <v>0</v>
      </c>
      <c r="S238" s="13">
        <v>0</v>
      </c>
      <c r="T238" s="13">
        <v>0</v>
      </c>
      <c r="U238" s="13">
        <v>0</v>
      </c>
      <c r="V238" s="13">
        <v>0</v>
      </c>
      <c r="W238" s="13">
        <v>0.4221230144262314</v>
      </c>
      <c r="X238" s="14">
        <v>102.153769491148</v>
      </c>
      <c r="Y238" s="14"/>
      <c r="Z238" s="20">
        <v>0</v>
      </c>
      <c r="AA238" s="13">
        <v>0</v>
      </c>
      <c r="AB238" s="13">
        <v>0</v>
      </c>
      <c r="AC238" s="13">
        <v>0</v>
      </c>
      <c r="AD238" s="13">
        <v>0</v>
      </c>
      <c r="AE238" s="13">
        <v>0</v>
      </c>
      <c r="AF238" s="13">
        <v>0</v>
      </c>
      <c r="AG238" s="13">
        <v>0.2408380256852635</v>
      </c>
      <c r="AH238" s="20">
        <v>0</v>
      </c>
      <c r="AI238" s="13">
        <v>0</v>
      </c>
      <c r="AJ238" s="13">
        <v>0</v>
      </c>
      <c r="AK238" s="13">
        <v>0</v>
      </c>
      <c r="AL238" s="13">
        <v>0</v>
      </c>
      <c r="AM238" s="13">
        <v>0</v>
      </c>
      <c r="AN238" s="13">
        <v>0</v>
      </c>
      <c r="AO238" s="13">
        <v>0</v>
      </c>
      <c r="AP238" s="6">
        <v>0.2408380256852635</v>
      </c>
      <c r="AQ238">
        <v>1.6154630329217567</v>
      </c>
      <c r="AR238">
        <f t="shared" si="44"/>
        <v>0</v>
      </c>
      <c r="AS238">
        <f t="shared" si="45"/>
        <v>165.02563828655997</v>
      </c>
      <c r="AT238">
        <f t="shared" si="46"/>
        <v>0</v>
      </c>
      <c r="AU238">
        <f t="shared" si="47"/>
        <v>0</v>
      </c>
      <c r="AV238">
        <f t="shared" si="48"/>
        <v>1.6154630329217567</v>
      </c>
      <c r="AW238">
        <f t="shared" si="49"/>
        <v>1</v>
      </c>
      <c r="AX238" s="11"/>
    </row>
    <row r="239" spans="2:49" ht="12.75">
      <c r="B239" s="3" t="s">
        <v>7</v>
      </c>
      <c r="C239">
        <v>3</v>
      </c>
      <c r="G239" s="19">
        <v>0.00801514877252312</v>
      </c>
      <c r="H239" s="4">
        <v>0</v>
      </c>
      <c r="I239" s="4">
        <v>0</v>
      </c>
      <c r="J239" s="4">
        <v>0</v>
      </c>
      <c r="K239" s="4">
        <v>0</v>
      </c>
      <c r="L239" s="4">
        <v>0.0004202916964988668</v>
      </c>
      <c r="M239" s="4">
        <v>0</v>
      </c>
      <c r="N239" s="27">
        <v>0</v>
      </c>
      <c r="O239" s="4">
        <v>0</v>
      </c>
      <c r="P239" s="4">
        <v>0</v>
      </c>
      <c r="Q239" s="4">
        <v>0</v>
      </c>
      <c r="R239" s="4">
        <v>0</v>
      </c>
      <c r="S239" s="4">
        <v>0</v>
      </c>
      <c r="T239" s="4">
        <v>0</v>
      </c>
      <c r="U239" s="4">
        <v>0</v>
      </c>
      <c r="V239" s="17">
        <v>0</v>
      </c>
      <c r="W239" s="17">
        <v>0.008435440469021987</v>
      </c>
      <c r="X239" s="18">
        <v>2.041376593503321</v>
      </c>
      <c r="Y239" s="18"/>
      <c r="Z239" s="19">
        <v>0.0008838533340005741</v>
      </c>
      <c r="AA239" s="4">
        <v>0</v>
      </c>
      <c r="AB239" s="19">
        <v>0</v>
      </c>
      <c r="AC239" s="4">
        <v>0</v>
      </c>
      <c r="AD239" s="4">
        <v>0</v>
      </c>
      <c r="AE239" s="4">
        <v>9.423614707415715E-07</v>
      </c>
      <c r="AF239" s="4">
        <v>0</v>
      </c>
      <c r="AG239" s="4">
        <v>0</v>
      </c>
      <c r="AH239" s="19">
        <v>0</v>
      </c>
      <c r="AI239" s="17">
        <v>0</v>
      </c>
      <c r="AJ239" s="4">
        <v>0</v>
      </c>
      <c r="AK239" s="4">
        <v>0</v>
      </c>
      <c r="AL239" s="4">
        <v>0</v>
      </c>
      <c r="AM239" s="4">
        <v>0</v>
      </c>
      <c r="AN239" s="4">
        <v>0</v>
      </c>
      <c r="AO239" s="4">
        <v>0</v>
      </c>
      <c r="AP239" s="6">
        <v>0.0008847956954713157</v>
      </c>
      <c r="AQ239">
        <v>0.45016624487999085</v>
      </c>
      <c r="AR239">
        <f t="shared" si="44"/>
        <v>1</v>
      </c>
      <c r="AS239">
        <f t="shared" si="45"/>
        <v>0.9189588354832975</v>
      </c>
      <c r="AT239">
        <f t="shared" si="46"/>
        <v>2.041376593503321</v>
      </c>
      <c r="AU239">
        <f t="shared" si="47"/>
        <v>3</v>
      </c>
      <c r="AV239">
        <f t="shared" si="48"/>
        <v>0</v>
      </c>
      <c r="AW239">
        <f t="shared" si="49"/>
        <v>0</v>
      </c>
    </row>
    <row r="240" spans="2:49" ht="12.75">
      <c r="B240" s="3" t="s">
        <v>15</v>
      </c>
      <c r="C240">
        <v>3</v>
      </c>
      <c r="G240" s="19">
        <v>0.00318462315597121</v>
      </c>
      <c r="H240" s="4">
        <v>0</v>
      </c>
      <c r="I240" s="4">
        <v>0</v>
      </c>
      <c r="J240" s="4">
        <v>0</v>
      </c>
      <c r="K240" s="4">
        <v>0</v>
      </c>
      <c r="L240" s="4">
        <v>0.0010578019157394475</v>
      </c>
      <c r="M240" s="4">
        <v>0</v>
      </c>
      <c r="N240" s="27">
        <v>0</v>
      </c>
      <c r="O240" s="4">
        <v>0</v>
      </c>
      <c r="P240" s="4">
        <v>0</v>
      </c>
      <c r="Q240" s="4">
        <v>0</v>
      </c>
      <c r="R240" s="4">
        <v>0</v>
      </c>
      <c r="S240" s="4">
        <v>0</v>
      </c>
      <c r="T240" s="4">
        <v>0</v>
      </c>
      <c r="U240" s="4">
        <v>0</v>
      </c>
      <c r="V240" s="17">
        <v>0</v>
      </c>
      <c r="W240" s="17">
        <v>0.004242425071710658</v>
      </c>
      <c r="X240" s="18">
        <v>1.0266668673539792</v>
      </c>
      <c r="Y240" s="18"/>
      <c r="Z240" s="19">
        <v>0.00013953177723242437</v>
      </c>
      <c r="AA240" s="4">
        <v>0</v>
      </c>
      <c r="AB240" s="19">
        <v>0</v>
      </c>
      <c r="AC240" s="4">
        <v>0</v>
      </c>
      <c r="AD240" s="4">
        <v>0</v>
      </c>
      <c r="AE240" s="4">
        <v>5.96931641142367E-06</v>
      </c>
      <c r="AF240" s="4">
        <v>0</v>
      </c>
      <c r="AG240" s="4">
        <v>0</v>
      </c>
      <c r="AH240" s="19">
        <v>0</v>
      </c>
      <c r="AI240" s="17">
        <v>0</v>
      </c>
      <c r="AJ240" s="4">
        <v>0</v>
      </c>
      <c r="AK240" s="4">
        <v>0</v>
      </c>
      <c r="AL240" s="4">
        <v>0</v>
      </c>
      <c r="AM240" s="4">
        <v>0</v>
      </c>
      <c r="AN240" s="4">
        <v>0</v>
      </c>
      <c r="AO240" s="4">
        <v>0</v>
      </c>
      <c r="AP240" s="6">
        <v>0.00014550109364384802</v>
      </c>
      <c r="AQ240">
        <v>3.792898920011559</v>
      </c>
      <c r="AR240">
        <f t="shared" si="44"/>
        <v>1</v>
      </c>
      <c r="AS240">
        <f t="shared" si="45"/>
        <v>3.894043652398558</v>
      </c>
      <c r="AT240">
        <f t="shared" si="46"/>
        <v>1.0266668673539792</v>
      </c>
      <c r="AU240">
        <f t="shared" si="47"/>
        <v>3</v>
      </c>
      <c r="AV240">
        <f t="shared" si="48"/>
        <v>0</v>
      </c>
      <c r="AW240">
        <f t="shared" si="49"/>
        <v>0</v>
      </c>
    </row>
    <row r="241" spans="2:49" ht="12.75">
      <c r="B241" s="3" t="s">
        <v>16</v>
      </c>
      <c r="C241">
        <v>0</v>
      </c>
      <c r="G241" s="19">
        <v>0</v>
      </c>
      <c r="H241" s="4">
        <v>0</v>
      </c>
      <c r="I241" s="4">
        <v>0</v>
      </c>
      <c r="J241" s="4">
        <v>0</v>
      </c>
      <c r="K241" s="4">
        <v>0</v>
      </c>
      <c r="L241" s="4">
        <v>0</v>
      </c>
      <c r="M241" s="4">
        <v>0</v>
      </c>
      <c r="N241" s="27">
        <v>0.0016588981188413489</v>
      </c>
      <c r="O241" s="4">
        <v>0</v>
      </c>
      <c r="P241" s="4">
        <v>0</v>
      </c>
      <c r="Q241" s="4">
        <v>0</v>
      </c>
      <c r="R241" s="4">
        <v>0</v>
      </c>
      <c r="S241" s="4">
        <v>0</v>
      </c>
      <c r="T241" s="4">
        <v>0</v>
      </c>
      <c r="U241" s="4">
        <v>0</v>
      </c>
      <c r="V241" s="17">
        <v>0</v>
      </c>
      <c r="W241" s="17">
        <v>0.0016588981188413489</v>
      </c>
      <c r="X241" s="18">
        <v>0.4014533447596064</v>
      </c>
      <c r="Y241" s="18"/>
      <c r="Z241" s="19">
        <v>0</v>
      </c>
      <c r="AA241" s="4">
        <v>0</v>
      </c>
      <c r="AB241" s="19">
        <v>0</v>
      </c>
      <c r="AC241" s="4">
        <v>0</v>
      </c>
      <c r="AD241" s="4">
        <v>0</v>
      </c>
      <c r="AE241" s="4">
        <v>0</v>
      </c>
      <c r="AF241" s="4">
        <v>0</v>
      </c>
      <c r="AG241" s="4">
        <v>3.719515955476352E-06</v>
      </c>
      <c r="AH241" s="19">
        <v>0</v>
      </c>
      <c r="AI241" s="17">
        <v>0</v>
      </c>
      <c r="AJ241" s="4">
        <v>0</v>
      </c>
      <c r="AK241" s="4">
        <v>0</v>
      </c>
      <c r="AL241" s="4">
        <v>0</v>
      </c>
      <c r="AM241" s="4">
        <v>0</v>
      </c>
      <c r="AN241" s="4">
        <v>0</v>
      </c>
      <c r="AO241" s="4">
        <v>0</v>
      </c>
      <c r="AP241" s="6">
        <v>3.719515955476352E-06</v>
      </c>
      <c r="AQ241">
        <v>0.4014533447596065</v>
      </c>
      <c r="AR241">
        <f t="shared" si="44"/>
        <v>1</v>
      </c>
      <c r="AS241">
        <f t="shared" si="45"/>
        <v>0.16116478801867543</v>
      </c>
      <c r="AT241">
        <f t="shared" si="46"/>
        <v>0.4014533447596064</v>
      </c>
      <c r="AU241">
        <f t="shared" si="47"/>
        <v>0</v>
      </c>
      <c r="AV241">
        <f t="shared" si="48"/>
        <v>0</v>
      </c>
      <c r="AW241">
        <f t="shared" si="49"/>
        <v>0</v>
      </c>
    </row>
    <row r="242" spans="2:49" ht="12.75">
      <c r="B242" s="3" t="s">
        <v>17</v>
      </c>
      <c r="C242">
        <v>2</v>
      </c>
      <c r="G242" s="19">
        <v>0</v>
      </c>
      <c r="H242" s="4">
        <v>0</v>
      </c>
      <c r="I242" s="4">
        <v>0</v>
      </c>
      <c r="J242" s="4">
        <v>0</v>
      </c>
      <c r="K242" s="4">
        <v>0</v>
      </c>
      <c r="L242" s="4">
        <v>0</v>
      </c>
      <c r="M242" s="4">
        <v>0</v>
      </c>
      <c r="N242" s="27">
        <v>0.004175161257633069</v>
      </c>
      <c r="O242" s="4">
        <v>0</v>
      </c>
      <c r="P242" s="4">
        <v>0</v>
      </c>
      <c r="Q242" s="4">
        <v>0</v>
      </c>
      <c r="R242" s="4">
        <v>0</v>
      </c>
      <c r="S242" s="4">
        <v>0</v>
      </c>
      <c r="T242" s="4">
        <v>0</v>
      </c>
      <c r="U242" s="4">
        <v>0</v>
      </c>
      <c r="V242" s="17">
        <v>0</v>
      </c>
      <c r="W242" s="17">
        <v>0.004175161257633069</v>
      </c>
      <c r="X242" s="18">
        <v>1.0103890243472027</v>
      </c>
      <c r="Y242" s="18"/>
      <c r="Z242" s="19">
        <v>0</v>
      </c>
      <c r="AA242" s="4">
        <v>0</v>
      </c>
      <c r="AB242" s="19">
        <v>0</v>
      </c>
      <c r="AC242" s="4">
        <v>0</v>
      </c>
      <c r="AD242" s="4">
        <v>0</v>
      </c>
      <c r="AE242" s="4">
        <v>0</v>
      </c>
      <c r="AF242" s="4">
        <v>0</v>
      </c>
      <c r="AG242" s="4">
        <v>2.3560988352065186E-05</v>
      </c>
      <c r="AH242" s="19">
        <v>0</v>
      </c>
      <c r="AI242" s="17">
        <v>0</v>
      </c>
      <c r="AJ242" s="4">
        <v>0</v>
      </c>
      <c r="AK242" s="4">
        <v>0</v>
      </c>
      <c r="AL242" s="4">
        <v>0</v>
      </c>
      <c r="AM242" s="4">
        <v>0</v>
      </c>
      <c r="AN242" s="4">
        <v>0</v>
      </c>
      <c r="AO242" s="4">
        <v>0</v>
      </c>
      <c r="AP242" s="6">
        <v>2.3560988352065186E-05</v>
      </c>
      <c r="AQ242">
        <v>0.9692602151584255</v>
      </c>
      <c r="AR242">
        <f t="shared" si="44"/>
        <v>1</v>
      </c>
      <c r="AS242">
        <f t="shared" si="45"/>
        <v>0.9793298831324814</v>
      </c>
      <c r="AT242">
        <f t="shared" si="46"/>
        <v>1.0103890243472027</v>
      </c>
      <c r="AU242">
        <f t="shared" si="47"/>
        <v>2</v>
      </c>
      <c r="AV242">
        <f t="shared" si="48"/>
        <v>0</v>
      </c>
      <c r="AW242">
        <f t="shared" si="49"/>
        <v>0</v>
      </c>
    </row>
    <row r="243" spans="2:49" ht="12.75">
      <c r="B243" s="3" t="s">
        <v>18</v>
      </c>
      <c r="C243">
        <v>4</v>
      </c>
      <c r="G243" s="19">
        <v>0.0004101693664762773</v>
      </c>
      <c r="H243" s="4">
        <v>0</v>
      </c>
      <c r="I243" s="4">
        <v>0</v>
      </c>
      <c r="J243" s="4">
        <v>0</v>
      </c>
      <c r="K243" s="4">
        <v>0</v>
      </c>
      <c r="L243" s="4">
        <v>0.008212949943665246</v>
      </c>
      <c r="M243" s="4">
        <v>0</v>
      </c>
      <c r="N243" s="27">
        <v>0</v>
      </c>
      <c r="O243" s="4">
        <v>0</v>
      </c>
      <c r="P243" s="4">
        <v>0</v>
      </c>
      <c r="Q243" s="4">
        <v>0</v>
      </c>
      <c r="R243" s="4">
        <v>0</v>
      </c>
      <c r="S243" s="4">
        <v>0</v>
      </c>
      <c r="T243" s="4">
        <v>0</v>
      </c>
      <c r="U243" s="4">
        <v>0</v>
      </c>
      <c r="V243" s="17">
        <v>0</v>
      </c>
      <c r="W243" s="17">
        <v>0.008623119310141522</v>
      </c>
      <c r="X243" s="18">
        <v>2.0867948730542483</v>
      </c>
      <c r="Y243" s="18"/>
      <c r="Z243" s="19">
        <v>2.3146400988114464E-06</v>
      </c>
      <c r="AA243" s="4">
        <v>0</v>
      </c>
      <c r="AB243" s="19">
        <v>0</v>
      </c>
      <c r="AC243" s="4">
        <v>0</v>
      </c>
      <c r="AD243" s="4">
        <v>0</v>
      </c>
      <c r="AE243" s="4">
        <v>0.00035984398964500623</v>
      </c>
      <c r="AF243" s="4">
        <v>0</v>
      </c>
      <c r="AG243" s="4">
        <v>0</v>
      </c>
      <c r="AH243" s="19">
        <v>0</v>
      </c>
      <c r="AI243" s="17">
        <v>0</v>
      </c>
      <c r="AJ243" s="4">
        <v>0</v>
      </c>
      <c r="AK243" s="4">
        <v>0</v>
      </c>
      <c r="AL243" s="4">
        <v>0</v>
      </c>
      <c r="AM243" s="4">
        <v>0</v>
      </c>
      <c r="AN243" s="4">
        <v>0</v>
      </c>
      <c r="AO243" s="4">
        <v>0</v>
      </c>
      <c r="AP243" s="6">
        <v>0.0003621586297438177</v>
      </c>
      <c r="AQ243">
        <v>1.754055420125788</v>
      </c>
      <c r="AR243">
        <f t="shared" si="44"/>
        <v>1</v>
      </c>
      <c r="AS243">
        <f t="shared" si="45"/>
        <v>3.66035385777151</v>
      </c>
      <c r="AT243">
        <f t="shared" si="46"/>
        <v>2.0867948730542483</v>
      </c>
      <c r="AU243">
        <f t="shared" si="47"/>
        <v>4</v>
      </c>
      <c r="AV243">
        <f t="shared" si="48"/>
        <v>0</v>
      </c>
      <c r="AW243">
        <f t="shared" si="49"/>
        <v>0</v>
      </c>
    </row>
    <row r="244" spans="2:49" ht="12.75">
      <c r="B244" s="16" t="s">
        <v>19</v>
      </c>
      <c r="C244">
        <v>2</v>
      </c>
      <c r="G244" s="19">
        <v>0.000162970756928221</v>
      </c>
      <c r="H244" s="4">
        <v>0</v>
      </c>
      <c r="I244" s="4">
        <v>0</v>
      </c>
      <c r="J244" s="4">
        <v>0</v>
      </c>
      <c r="K244" s="4">
        <v>0</v>
      </c>
      <c r="L244" s="4">
        <v>0.020670582494614453</v>
      </c>
      <c r="M244" s="4">
        <v>0</v>
      </c>
      <c r="N244" s="27">
        <v>0</v>
      </c>
      <c r="O244" s="4">
        <v>0</v>
      </c>
      <c r="P244" s="4">
        <v>0</v>
      </c>
      <c r="Q244" s="4">
        <v>0</v>
      </c>
      <c r="R244" s="4">
        <v>0</v>
      </c>
      <c r="S244" s="4">
        <v>0</v>
      </c>
      <c r="T244" s="4">
        <v>0</v>
      </c>
      <c r="U244" s="4">
        <v>0</v>
      </c>
      <c r="V244" s="17">
        <v>0</v>
      </c>
      <c r="W244" s="17">
        <v>0.020833553251542673</v>
      </c>
      <c r="X244" s="18">
        <v>5.041719886873327</v>
      </c>
      <c r="Y244" s="18"/>
      <c r="Z244" s="19">
        <v>3.6540660561720036E-07</v>
      </c>
      <c r="AA244" s="4">
        <v>0</v>
      </c>
      <c r="AB244" s="19">
        <v>0</v>
      </c>
      <c r="AC244" s="4">
        <v>0</v>
      </c>
      <c r="AD244" s="4">
        <v>0</v>
      </c>
      <c r="AE244" s="4">
        <v>0.002279404134858956</v>
      </c>
      <c r="AF244" s="4">
        <v>0</v>
      </c>
      <c r="AG244" s="4">
        <v>0</v>
      </c>
      <c r="AH244" s="19">
        <v>0</v>
      </c>
      <c r="AI244" s="17">
        <v>0</v>
      </c>
      <c r="AJ244" s="4">
        <v>0</v>
      </c>
      <c r="AK244" s="4">
        <v>0</v>
      </c>
      <c r="AL244" s="4">
        <v>0</v>
      </c>
      <c r="AM244" s="4">
        <v>0</v>
      </c>
      <c r="AN244" s="4">
        <v>0</v>
      </c>
      <c r="AO244" s="4">
        <v>0</v>
      </c>
      <c r="AP244" s="6">
        <v>0.0022797695414645733</v>
      </c>
      <c r="AQ244">
        <v>1.8350999416467868</v>
      </c>
      <c r="AR244">
        <f t="shared" si="44"/>
        <v>0</v>
      </c>
      <c r="AS244">
        <f t="shared" si="45"/>
        <v>9.252059870200688</v>
      </c>
      <c r="AT244">
        <f t="shared" si="46"/>
        <v>0</v>
      </c>
      <c r="AU244">
        <f t="shared" si="47"/>
        <v>0</v>
      </c>
      <c r="AV244">
        <f t="shared" si="48"/>
        <v>1.8350999416467868</v>
      </c>
      <c r="AW244">
        <f t="shared" si="49"/>
        <v>1</v>
      </c>
    </row>
    <row r="245" spans="2:49" ht="12.75">
      <c r="B245" s="16" t="s">
        <v>20</v>
      </c>
      <c r="C245">
        <v>5</v>
      </c>
      <c r="G245" s="19">
        <v>0</v>
      </c>
      <c r="H245" s="4">
        <v>0</v>
      </c>
      <c r="I245" s="4">
        <v>0</v>
      </c>
      <c r="J245" s="4">
        <v>0</v>
      </c>
      <c r="K245" s="4">
        <v>0</v>
      </c>
      <c r="L245" s="4">
        <v>0</v>
      </c>
      <c r="M245" s="4">
        <v>0</v>
      </c>
      <c r="N245" s="27">
        <v>0.03241664616545946</v>
      </c>
      <c r="O245" s="4">
        <v>0</v>
      </c>
      <c r="P245" s="4">
        <v>0</v>
      </c>
      <c r="Q245" s="4">
        <v>0</v>
      </c>
      <c r="R245" s="4">
        <v>0</v>
      </c>
      <c r="S245" s="4">
        <v>0</v>
      </c>
      <c r="T245" s="4">
        <v>0</v>
      </c>
      <c r="U245" s="4">
        <v>0</v>
      </c>
      <c r="V245" s="17">
        <v>0</v>
      </c>
      <c r="W245" s="17">
        <v>0.03241664616545946</v>
      </c>
      <c r="X245" s="18">
        <v>7.844828372041189</v>
      </c>
      <c r="Y245" s="18"/>
      <c r="Z245" s="19">
        <v>0</v>
      </c>
      <c r="AA245" s="4">
        <v>0</v>
      </c>
      <c r="AB245" s="19">
        <v>0</v>
      </c>
      <c r="AC245" s="4">
        <v>0</v>
      </c>
      <c r="AD245" s="4">
        <v>0</v>
      </c>
      <c r="AE245" s="4">
        <v>0</v>
      </c>
      <c r="AF245" s="4">
        <v>0</v>
      </c>
      <c r="AG245" s="4">
        <v>0.0014203100429324717</v>
      </c>
      <c r="AH245" s="19">
        <v>0</v>
      </c>
      <c r="AI245" s="17">
        <v>0</v>
      </c>
      <c r="AJ245" s="4">
        <v>0</v>
      </c>
      <c r="AK245" s="4">
        <v>0</v>
      </c>
      <c r="AL245" s="4">
        <v>0</v>
      </c>
      <c r="AM245" s="4">
        <v>0</v>
      </c>
      <c r="AN245" s="4">
        <v>0</v>
      </c>
      <c r="AO245" s="4">
        <v>0</v>
      </c>
      <c r="AP245" s="6">
        <v>0.0014203100429324717</v>
      </c>
      <c r="AQ245">
        <v>1.031641239624054</v>
      </c>
      <c r="AR245">
        <f t="shared" si="44"/>
        <v>0</v>
      </c>
      <c r="AS245">
        <f t="shared" si="45"/>
        <v>8.09304846637052</v>
      </c>
      <c r="AT245">
        <f t="shared" si="46"/>
        <v>0</v>
      </c>
      <c r="AU245">
        <f t="shared" si="47"/>
        <v>0</v>
      </c>
      <c r="AV245">
        <f t="shared" si="48"/>
        <v>1.031641239624054</v>
      </c>
      <c r="AW245">
        <f t="shared" si="49"/>
        <v>1</v>
      </c>
    </row>
    <row r="246" spans="2:49" ht="13.5" thickBot="1">
      <c r="B246" s="12" t="s">
        <v>21</v>
      </c>
      <c r="C246">
        <v>16</v>
      </c>
      <c r="G246" s="19">
        <v>0</v>
      </c>
      <c r="H246" s="4">
        <v>0</v>
      </c>
      <c r="I246" s="4">
        <v>0</v>
      </c>
      <c r="J246" s="4">
        <v>0</v>
      </c>
      <c r="K246" s="4">
        <v>0</v>
      </c>
      <c r="L246" s="4">
        <v>0</v>
      </c>
      <c r="M246" s="4">
        <v>0</v>
      </c>
      <c r="N246" s="27">
        <v>0.08158712318448882</v>
      </c>
      <c r="O246" s="4">
        <v>0</v>
      </c>
      <c r="P246" s="4">
        <v>0</v>
      </c>
      <c r="Q246" s="4">
        <v>0</v>
      </c>
      <c r="R246" s="4">
        <v>0</v>
      </c>
      <c r="S246" s="4">
        <v>0</v>
      </c>
      <c r="T246" s="4">
        <v>0</v>
      </c>
      <c r="U246" s="4">
        <v>0</v>
      </c>
      <c r="V246" s="17">
        <v>0</v>
      </c>
      <c r="W246" s="17">
        <v>0.08158712318448882</v>
      </c>
      <c r="X246" s="18">
        <v>19.744083810646295</v>
      </c>
      <c r="Y246" s="18"/>
      <c r="Z246" s="19">
        <v>0</v>
      </c>
      <c r="AA246" s="4">
        <v>0</v>
      </c>
      <c r="AB246" s="19">
        <v>0</v>
      </c>
      <c r="AC246" s="4">
        <v>0</v>
      </c>
      <c r="AD246" s="4">
        <v>0</v>
      </c>
      <c r="AE246" s="4">
        <v>0</v>
      </c>
      <c r="AF246" s="4">
        <v>0</v>
      </c>
      <c r="AG246" s="4">
        <v>0.00899684496005005</v>
      </c>
      <c r="AH246" s="19">
        <v>0</v>
      </c>
      <c r="AI246" s="17">
        <v>0</v>
      </c>
      <c r="AJ246" s="4">
        <v>0</v>
      </c>
      <c r="AK246" s="4">
        <v>0</v>
      </c>
      <c r="AL246" s="4">
        <v>0</v>
      </c>
      <c r="AM246" s="4">
        <v>0</v>
      </c>
      <c r="AN246" s="4">
        <v>0</v>
      </c>
      <c r="AO246" s="4">
        <v>0</v>
      </c>
      <c r="AP246" s="6">
        <v>0.00899684496005005</v>
      </c>
      <c r="AQ246">
        <v>0.7099931156889074</v>
      </c>
      <c r="AR246">
        <f t="shared" si="44"/>
        <v>0</v>
      </c>
      <c r="AS246">
        <f t="shared" si="45"/>
        <v>14.01816358114368</v>
      </c>
      <c r="AT246">
        <f t="shared" si="46"/>
        <v>0</v>
      </c>
      <c r="AU246">
        <f t="shared" si="47"/>
        <v>0</v>
      </c>
      <c r="AV246">
        <f t="shared" si="48"/>
        <v>0.7099931156889074</v>
      </c>
      <c r="AW246">
        <f t="shared" si="49"/>
        <v>1</v>
      </c>
    </row>
    <row r="247" spans="3:50" ht="12.75">
      <c r="C247" s="2">
        <v>242</v>
      </c>
      <c r="D247" s="2">
        <v>0</v>
      </c>
      <c r="E247" s="2">
        <v>0</v>
      </c>
      <c r="F247" s="2">
        <v>0</v>
      </c>
      <c r="G247" s="33">
        <v>0.0726846948179721</v>
      </c>
      <c r="H247" s="2">
        <v>0</v>
      </c>
      <c r="I247" s="2">
        <v>0</v>
      </c>
      <c r="J247" s="2">
        <v>0</v>
      </c>
      <c r="K247" s="2">
        <v>0</v>
      </c>
      <c r="L247" s="2">
        <v>0.18744941896540876</v>
      </c>
      <c r="M247" s="2">
        <v>0</v>
      </c>
      <c r="N247" s="29">
        <v>0.7398658862166191</v>
      </c>
      <c r="O247" s="2">
        <v>0</v>
      </c>
      <c r="P247" s="2">
        <v>0</v>
      </c>
      <c r="Q247" s="2">
        <v>0</v>
      </c>
      <c r="R247" s="2">
        <v>0</v>
      </c>
      <c r="S247" s="2">
        <v>0</v>
      </c>
      <c r="T247" s="2">
        <v>0</v>
      </c>
      <c r="U247" s="2">
        <v>0</v>
      </c>
      <c r="V247" s="32">
        <v>0</v>
      </c>
      <c r="W247" s="32">
        <v>1</v>
      </c>
      <c r="X247" s="32">
        <v>242</v>
      </c>
      <c r="Y247" s="32"/>
      <c r="Z247" s="33">
        <v>0.028492972497053484</v>
      </c>
      <c r="AA247" s="2">
        <v>0</v>
      </c>
      <c r="AB247" s="2">
        <v>0</v>
      </c>
      <c r="AC247" s="2">
        <v>0</v>
      </c>
      <c r="AD247" s="2">
        <v>0</v>
      </c>
      <c r="AE247" s="2">
        <v>0.07348164771890088</v>
      </c>
      <c r="AF247" s="2">
        <v>0</v>
      </c>
      <c r="AG247" s="2">
        <v>0.2900332511579277</v>
      </c>
      <c r="AH247" s="2">
        <v>0</v>
      </c>
      <c r="AI247" s="2">
        <v>0</v>
      </c>
      <c r="AJ247" s="2">
        <v>0</v>
      </c>
      <c r="AK247" s="2">
        <v>0</v>
      </c>
      <c r="AL247" s="2">
        <v>0</v>
      </c>
      <c r="AM247" s="2">
        <v>0</v>
      </c>
      <c r="AN247" s="2">
        <v>0</v>
      </c>
      <c r="AO247" s="2">
        <v>0</v>
      </c>
      <c r="AP247" s="2">
        <v>0.39200787137388216</v>
      </c>
      <c r="AQ247" s="36">
        <v>15.742197508183391</v>
      </c>
      <c r="AR247" s="36">
        <f>SUM(AR231:AR246)</f>
        <v>6</v>
      </c>
      <c r="AT247">
        <f>SUM(AT231:AT246)</f>
        <v>8.643757200227615</v>
      </c>
      <c r="AU247">
        <f>SUM(AU231:AU246)</f>
        <v>14</v>
      </c>
      <c r="AV247" s="36">
        <f>SUM(AV231:AV246)</f>
        <v>8.37150319587815</v>
      </c>
      <c r="AW247" s="36">
        <f>SUM(AW231:AW246)</f>
        <v>10</v>
      </c>
      <c r="AX247" t="s">
        <v>64</v>
      </c>
    </row>
    <row r="248" spans="13:51" ht="12.75">
      <c r="M248" s="15"/>
      <c r="N248" s="15"/>
      <c r="AQ248" t="s">
        <v>38</v>
      </c>
      <c r="AU248" s="36">
        <f>POWER(AT247-AU247,2)/AT247</f>
        <v>3.319081767979097</v>
      </c>
      <c r="AV248" s="41">
        <f>AV247+AU248</f>
        <v>11.690584963857248</v>
      </c>
      <c r="AY248">
        <f>AV214-AV248</f>
        <v>39.55073688804791</v>
      </c>
    </row>
    <row r="249" spans="5:47" ht="12.75">
      <c r="E249" t="s">
        <v>106</v>
      </c>
      <c r="F249">
        <v>0</v>
      </c>
      <c r="M249" s="15"/>
      <c r="N249" s="15"/>
      <c r="AP249" t="s">
        <v>106</v>
      </c>
      <c r="AU249" t="s">
        <v>61</v>
      </c>
    </row>
    <row r="250" ht="12.75">
      <c r="AP250" t="s">
        <v>0</v>
      </c>
    </row>
    <row r="252" ht="12.75">
      <c r="A252" t="s">
        <v>66</v>
      </c>
    </row>
    <row r="254" ht="12.75">
      <c r="D254" t="s">
        <v>50</v>
      </c>
    </row>
    <row r="255" ht="12.75">
      <c r="D255" s="9" t="s">
        <v>36</v>
      </c>
    </row>
    <row r="256" spans="1:2" ht="12.75">
      <c r="A256" t="s">
        <v>35</v>
      </c>
      <c r="B256" s="1">
        <v>0.1666091443573717</v>
      </c>
    </row>
    <row r="258" ht="12.75">
      <c r="E258" t="s">
        <v>49</v>
      </c>
    </row>
    <row r="259" spans="2:3" ht="12.75">
      <c r="B259" t="s">
        <v>98</v>
      </c>
      <c r="C259" s="1">
        <v>0.07136574432092095</v>
      </c>
    </row>
    <row r="260" spans="2:26" ht="12.75">
      <c r="B260" t="s">
        <v>99</v>
      </c>
      <c r="C260" s="1">
        <v>0.062417369147383654</v>
      </c>
      <c r="Z260" s="21" t="s">
        <v>34</v>
      </c>
    </row>
    <row r="261" spans="2:3" ht="12.75">
      <c r="B261" t="s">
        <v>100</v>
      </c>
      <c r="C261" s="1">
        <v>0.2719080921179606</v>
      </c>
    </row>
    <row r="262" spans="2:42" ht="12.75">
      <c r="B262" t="s">
        <v>5</v>
      </c>
      <c r="C262" s="1">
        <v>0.1316168959286529</v>
      </c>
      <c r="G262" s="21" t="s">
        <v>107</v>
      </c>
      <c r="Z262" s="21" t="s">
        <v>101</v>
      </c>
      <c r="AP262" t="s">
        <v>108</v>
      </c>
    </row>
    <row r="263" spans="23:43" ht="12.75">
      <c r="W263" s="30" t="s">
        <v>22</v>
      </c>
      <c r="X263" s="15" t="s">
        <v>2</v>
      </c>
      <c r="AP263" t="s">
        <v>22</v>
      </c>
      <c r="AQ263" t="s">
        <v>37</v>
      </c>
    </row>
    <row r="264" spans="5:52" ht="12.75">
      <c r="E264" s="2"/>
      <c r="F264" s="2"/>
      <c r="G264" s="37">
        <v>0.05512915166348265</v>
      </c>
      <c r="H264" s="5">
        <v>0</v>
      </c>
      <c r="I264" s="5">
        <v>0</v>
      </c>
      <c r="J264" s="5">
        <v>0</v>
      </c>
      <c r="K264" s="5">
        <v>0</v>
      </c>
      <c r="L264" s="38">
        <v>0.14314858194496996</v>
      </c>
      <c r="M264" s="5">
        <v>0</v>
      </c>
      <c r="N264" s="40">
        <v>0.8017222663915475</v>
      </c>
      <c r="O264" s="5">
        <v>0</v>
      </c>
      <c r="P264" s="5">
        <v>0</v>
      </c>
      <c r="Q264" s="5">
        <v>0</v>
      </c>
      <c r="R264" s="5">
        <v>0</v>
      </c>
      <c r="S264" s="5">
        <v>0</v>
      </c>
      <c r="T264" s="5">
        <v>0</v>
      </c>
      <c r="U264" s="5">
        <v>0</v>
      </c>
      <c r="V264" s="30">
        <v>0</v>
      </c>
      <c r="W264" s="17">
        <v>1</v>
      </c>
      <c r="X264" s="15" t="s">
        <v>97</v>
      </c>
      <c r="Z264" s="34">
        <v>0.05512915166348265</v>
      </c>
      <c r="AA264" s="8">
        <v>0</v>
      </c>
      <c r="AB264" s="8">
        <v>0</v>
      </c>
      <c r="AC264" s="8">
        <v>0</v>
      </c>
      <c r="AD264" s="8">
        <v>0</v>
      </c>
      <c r="AE264" s="8">
        <v>0.14314858194496996</v>
      </c>
      <c r="AF264" s="8">
        <v>0</v>
      </c>
      <c r="AG264" s="8">
        <v>0.8017222663915475</v>
      </c>
      <c r="AH264" s="34">
        <v>0</v>
      </c>
      <c r="AI264" s="35">
        <v>0</v>
      </c>
      <c r="AJ264" s="8">
        <v>0</v>
      </c>
      <c r="AK264" s="8">
        <v>0</v>
      </c>
      <c r="AL264" s="8">
        <v>0</v>
      </c>
      <c r="AM264" s="8">
        <v>0</v>
      </c>
      <c r="AN264" s="8">
        <v>0</v>
      </c>
      <c r="AO264" s="8">
        <v>0</v>
      </c>
      <c r="AP264" s="6">
        <v>1</v>
      </c>
      <c r="AX264" s="53" t="s">
        <v>90</v>
      </c>
      <c r="AY264" s="53" t="s">
        <v>91</v>
      </c>
      <c r="AZ264" s="53"/>
    </row>
    <row r="265" spans="2:52" ht="12.75">
      <c r="B265" t="s">
        <v>1</v>
      </c>
      <c r="C265" t="s">
        <v>102</v>
      </c>
      <c r="D265" t="s">
        <v>103</v>
      </c>
      <c r="E265" t="s">
        <v>104</v>
      </c>
      <c r="F265" t="s">
        <v>105</v>
      </c>
      <c r="G265" s="23" t="s">
        <v>6</v>
      </c>
      <c r="H265" s="7" t="s">
        <v>8</v>
      </c>
      <c r="I265" s="7" t="s">
        <v>9</v>
      </c>
      <c r="J265" s="7" t="s">
        <v>10</v>
      </c>
      <c r="K265" s="7" t="s">
        <v>11</v>
      </c>
      <c r="L265" s="7" t="s">
        <v>12</v>
      </c>
      <c r="M265" s="7" t="s">
        <v>13</v>
      </c>
      <c r="N265" s="26" t="s">
        <v>14</v>
      </c>
      <c r="O265" s="7" t="s">
        <v>7</v>
      </c>
      <c r="P265" s="7" t="s">
        <v>15</v>
      </c>
      <c r="Q265" s="7" t="s">
        <v>16</v>
      </c>
      <c r="R265" s="7" t="s">
        <v>17</v>
      </c>
      <c r="S265" s="7" t="s">
        <v>18</v>
      </c>
      <c r="T265" s="7" t="s">
        <v>19</v>
      </c>
      <c r="U265" s="7" t="s">
        <v>20</v>
      </c>
      <c r="V265" s="31" t="s">
        <v>21</v>
      </c>
      <c r="W265" s="31"/>
      <c r="Z265" s="23" t="s">
        <v>6</v>
      </c>
      <c r="AA265" s="7" t="s">
        <v>8</v>
      </c>
      <c r="AB265" s="7" t="s">
        <v>9</v>
      </c>
      <c r="AC265" s="7" t="s">
        <v>10</v>
      </c>
      <c r="AD265" s="7" t="s">
        <v>11</v>
      </c>
      <c r="AE265" s="7" t="s">
        <v>12</v>
      </c>
      <c r="AF265" s="7" t="s">
        <v>13</v>
      </c>
      <c r="AG265" s="26" t="s">
        <v>14</v>
      </c>
      <c r="AH265" s="7" t="s">
        <v>7</v>
      </c>
      <c r="AI265" s="7" t="s">
        <v>15</v>
      </c>
      <c r="AJ265" s="7" t="s">
        <v>16</v>
      </c>
      <c r="AK265" s="7" t="s">
        <v>17</v>
      </c>
      <c r="AL265" s="7" t="s">
        <v>18</v>
      </c>
      <c r="AM265" s="7" t="s">
        <v>19</v>
      </c>
      <c r="AN265" s="7" t="s">
        <v>20</v>
      </c>
      <c r="AO265" s="31" t="s">
        <v>21</v>
      </c>
      <c r="AP265" s="6"/>
      <c r="AR265" t="s">
        <v>65</v>
      </c>
      <c r="AS265" t="s">
        <v>59</v>
      </c>
      <c r="AT265" t="s">
        <v>60</v>
      </c>
      <c r="AU265" t="s">
        <v>62</v>
      </c>
      <c r="AW265" t="s">
        <v>63</v>
      </c>
      <c r="AX265" s="53"/>
      <c r="AY265" s="53"/>
      <c r="AZ265" s="53"/>
    </row>
    <row r="266" spans="2:52" ht="12.75">
      <c r="B266" s="16" t="s">
        <v>6</v>
      </c>
      <c r="C266">
        <v>6</v>
      </c>
      <c r="G266" s="19">
        <v>0.030348213587927695</v>
      </c>
      <c r="H266" s="4">
        <v>0</v>
      </c>
      <c r="I266" s="4">
        <v>0</v>
      </c>
      <c r="J266" s="4">
        <v>0</v>
      </c>
      <c r="K266" s="4">
        <v>0</v>
      </c>
      <c r="L266" s="4">
        <v>0.0022616213777102733</v>
      </c>
      <c r="M266" s="4">
        <v>0</v>
      </c>
      <c r="N266" s="27">
        <v>0.0008432429174949267</v>
      </c>
      <c r="O266" s="4">
        <v>0</v>
      </c>
      <c r="P266" s="4">
        <v>0</v>
      </c>
      <c r="Q266" s="4">
        <v>0</v>
      </c>
      <c r="R266" s="4">
        <v>0</v>
      </c>
      <c r="S266" s="4">
        <v>0</v>
      </c>
      <c r="T266" s="4">
        <v>0</v>
      </c>
      <c r="U266" s="4">
        <v>0</v>
      </c>
      <c r="V266" s="17">
        <v>0</v>
      </c>
      <c r="W266" s="17">
        <v>0.0334530778831329</v>
      </c>
      <c r="X266" s="18">
        <v>8.09564484771816</v>
      </c>
      <c r="Y266" s="18"/>
      <c r="Z266" s="19">
        <v>0.01670647996908241</v>
      </c>
      <c r="AA266" s="4">
        <v>0</v>
      </c>
      <c r="AB266" s="4">
        <v>0</v>
      </c>
      <c r="AC266" s="4">
        <v>0</v>
      </c>
      <c r="AD266" s="4">
        <v>0</v>
      </c>
      <c r="AE266" s="4">
        <v>3.573162365019046E-05</v>
      </c>
      <c r="AF266" s="4">
        <v>0</v>
      </c>
      <c r="AG266" s="4">
        <v>8.869138948899878E-07</v>
      </c>
      <c r="AH266" s="19">
        <v>0</v>
      </c>
      <c r="AI266" s="17">
        <v>0</v>
      </c>
      <c r="AJ266" s="4">
        <v>0</v>
      </c>
      <c r="AK266" s="4">
        <v>0</v>
      </c>
      <c r="AL266" s="4">
        <v>0</v>
      </c>
      <c r="AM266" s="4">
        <v>0</v>
      </c>
      <c r="AN266" s="4">
        <v>0</v>
      </c>
      <c r="AO266" s="4">
        <v>0</v>
      </c>
      <c r="AP266" s="6">
        <v>0.01674309850662749</v>
      </c>
      <c r="AQ266">
        <v>0.5424802360253644</v>
      </c>
      <c r="AR266">
        <v>0</v>
      </c>
      <c r="AS266">
        <v>4.391727327767673</v>
      </c>
      <c r="AT266">
        <v>0</v>
      </c>
      <c r="AU266">
        <v>0</v>
      </c>
      <c r="AV266">
        <v>0.5424802360253644</v>
      </c>
      <c r="AW266">
        <v>1</v>
      </c>
      <c r="AX266" s="53">
        <f>100*(C270+C271+C272+C273+C278+C279+C280+C281)/C282</f>
        <v>90.08264462809917</v>
      </c>
      <c r="AY266" s="53">
        <f>100*(X270+X271+X272+X273+X278+X279+X280+X281)/X282</f>
        <v>88.13737699000873</v>
      </c>
      <c r="AZ266" s="53" t="s">
        <v>93</v>
      </c>
    </row>
    <row r="267" spans="2:52" ht="12.75">
      <c r="B267" s="16" t="s">
        <v>8</v>
      </c>
      <c r="C267">
        <v>5</v>
      </c>
      <c r="G267" s="19">
        <v>0.011333630777309383</v>
      </c>
      <c r="H267" s="4">
        <v>0</v>
      </c>
      <c r="I267" s="4">
        <v>0</v>
      </c>
      <c r="J267" s="4">
        <v>0</v>
      </c>
      <c r="K267" s="4">
        <v>0</v>
      </c>
      <c r="L267" s="4">
        <v>0.006055973586433438</v>
      </c>
      <c r="M267" s="4">
        <v>0</v>
      </c>
      <c r="N267" s="27">
        <v>0.0022579627543432863</v>
      </c>
      <c r="O267" s="4">
        <v>0</v>
      </c>
      <c r="P267" s="4">
        <v>0</v>
      </c>
      <c r="Q267" s="4">
        <v>0</v>
      </c>
      <c r="R267" s="4">
        <v>0</v>
      </c>
      <c r="S267" s="4">
        <v>0</v>
      </c>
      <c r="T267" s="4">
        <v>0</v>
      </c>
      <c r="U267" s="4">
        <v>0</v>
      </c>
      <c r="V267" s="17">
        <v>0</v>
      </c>
      <c r="W267" s="17">
        <v>0.019647567118086108</v>
      </c>
      <c r="X267" s="18">
        <v>4.754711242576838</v>
      </c>
      <c r="Y267" s="18"/>
      <c r="Z267" s="19">
        <v>0.0023300047746147357</v>
      </c>
      <c r="AA267" s="4">
        <v>0</v>
      </c>
      <c r="AB267" s="4">
        <v>0</v>
      </c>
      <c r="AC267" s="4">
        <v>0</v>
      </c>
      <c r="AD267" s="4">
        <v>0</v>
      </c>
      <c r="AE267" s="4">
        <v>0.0002562010435679917</v>
      </c>
      <c r="AF267" s="4">
        <v>0</v>
      </c>
      <c r="AG267" s="4">
        <v>6.3593042300655635E-06</v>
      </c>
      <c r="AH267" s="19">
        <v>0</v>
      </c>
      <c r="AI267" s="17">
        <v>0</v>
      </c>
      <c r="AJ267" s="4">
        <v>0</v>
      </c>
      <c r="AK267" s="4">
        <v>0</v>
      </c>
      <c r="AL267" s="4">
        <v>0</v>
      </c>
      <c r="AM267" s="4">
        <v>0</v>
      </c>
      <c r="AN267" s="4">
        <v>0</v>
      </c>
      <c r="AO267" s="4">
        <v>0</v>
      </c>
      <c r="AP267" s="6">
        <v>0.0025925651224127932</v>
      </c>
      <c r="AQ267">
        <v>0.012654096421130133</v>
      </c>
      <c r="AR267">
        <v>0</v>
      </c>
      <c r="AS267">
        <v>0.06016657451819877</v>
      </c>
      <c r="AT267">
        <v>0</v>
      </c>
      <c r="AU267">
        <v>0</v>
      </c>
      <c r="AV267">
        <v>0.012654096421130133</v>
      </c>
      <c r="AW267">
        <v>1</v>
      </c>
      <c r="AX267" s="53">
        <f>100*(C268+C269+C272+C273+C276+C277+C280+C281)/C282</f>
        <v>75.20661157024793</v>
      </c>
      <c r="AY267" s="53">
        <f>100*(X268+X269+X272+X273+X276+X277+X280+X281)/X282</f>
        <v>76.40568462288547</v>
      </c>
      <c r="AZ267" s="53" t="s">
        <v>94</v>
      </c>
    </row>
    <row r="268" spans="2:52" ht="12.75">
      <c r="B268" s="16" t="s">
        <v>9</v>
      </c>
      <c r="C268">
        <v>2</v>
      </c>
      <c r="G268" s="19">
        <v>0.002020361286725987</v>
      </c>
      <c r="H268" s="4">
        <v>0</v>
      </c>
      <c r="I268" s="4">
        <v>0</v>
      </c>
      <c r="J268" s="4">
        <v>0</v>
      </c>
      <c r="K268" s="4">
        <v>0</v>
      </c>
      <c r="L268" s="4">
        <v>0.0001505621496803805</v>
      </c>
      <c r="M268" s="4">
        <v>0</v>
      </c>
      <c r="N268" s="27">
        <v>0.01266650491413525</v>
      </c>
      <c r="O268" s="4">
        <v>0</v>
      </c>
      <c r="P268" s="4">
        <v>0</v>
      </c>
      <c r="Q268" s="4">
        <v>0</v>
      </c>
      <c r="R268" s="4">
        <v>0</v>
      </c>
      <c r="S268" s="4">
        <v>0</v>
      </c>
      <c r="T268" s="4">
        <v>0</v>
      </c>
      <c r="U268" s="4">
        <v>0</v>
      </c>
      <c r="V268" s="17">
        <v>0</v>
      </c>
      <c r="W268" s="17">
        <v>0.014837428350541618</v>
      </c>
      <c r="X268" s="18">
        <v>3.5906576608310714</v>
      </c>
      <c r="Y268" s="18"/>
      <c r="Z268" s="19">
        <v>7.404176566723581E-05</v>
      </c>
      <c r="AA268" s="4">
        <v>0</v>
      </c>
      <c r="AB268" s="4">
        <v>0</v>
      </c>
      <c r="AC268" s="4">
        <v>0</v>
      </c>
      <c r="AD268" s="4">
        <v>0</v>
      </c>
      <c r="AE268" s="4">
        <v>1.58359661048489E-07</v>
      </c>
      <c r="AF268" s="4">
        <v>0</v>
      </c>
      <c r="AG268" s="4">
        <v>0.00020011960932797158</v>
      </c>
      <c r="AH268" s="19">
        <v>0</v>
      </c>
      <c r="AI268" s="17">
        <v>0</v>
      </c>
      <c r="AJ268" s="4">
        <v>0</v>
      </c>
      <c r="AK268" s="4">
        <v>0</v>
      </c>
      <c r="AL268" s="4">
        <v>0</v>
      </c>
      <c r="AM268" s="4">
        <v>0</v>
      </c>
      <c r="AN268" s="4">
        <v>0</v>
      </c>
      <c r="AO268" s="4">
        <v>0</v>
      </c>
      <c r="AP268" s="6">
        <v>0.0002743197346562559</v>
      </c>
      <c r="AQ268">
        <v>0.7046597122196698</v>
      </c>
      <c r="AR268">
        <v>1</v>
      </c>
      <c r="AS268">
        <v>2.530191793960576</v>
      </c>
      <c r="AT268">
        <v>3.5906576608310714</v>
      </c>
      <c r="AU268">
        <v>2</v>
      </c>
      <c r="AV268">
        <v>0</v>
      </c>
      <c r="AW268">
        <v>0</v>
      </c>
      <c r="AX268" s="53">
        <f>100*(C267+C269+C271+C273+C275+C277+C279+C281)/C282</f>
        <v>70.66115702479338</v>
      </c>
      <c r="AY268" s="53">
        <f>100*(X267+X269+X271+X273+X275+X277+X279+X281)/X282</f>
        <v>70.29428811163552</v>
      </c>
      <c r="AZ268" s="53" t="s">
        <v>95</v>
      </c>
    </row>
    <row r="269" spans="2:52" ht="12.75">
      <c r="B269" s="16" t="s">
        <v>10</v>
      </c>
      <c r="C269">
        <v>3</v>
      </c>
      <c r="G269" s="19">
        <v>0.0007545099415548695</v>
      </c>
      <c r="H269" s="4">
        <v>0</v>
      </c>
      <c r="I269" s="4">
        <v>0</v>
      </c>
      <c r="J269" s="4">
        <v>0</v>
      </c>
      <c r="K269" s="4">
        <v>0</v>
      </c>
      <c r="L269" s="4">
        <v>0.0004031622669326522</v>
      </c>
      <c r="M269" s="4">
        <v>0</v>
      </c>
      <c r="N269" s="27">
        <v>0.03391726835819605</v>
      </c>
      <c r="O269" s="4">
        <v>0</v>
      </c>
      <c r="P269" s="4">
        <v>0</v>
      </c>
      <c r="Q269" s="4">
        <v>0</v>
      </c>
      <c r="R269" s="4">
        <v>0</v>
      </c>
      <c r="S269" s="4">
        <v>0</v>
      </c>
      <c r="T269" s="4">
        <v>0</v>
      </c>
      <c r="U269" s="4">
        <v>0</v>
      </c>
      <c r="V269" s="17">
        <v>0</v>
      </c>
      <c r="W269" s="17">
        <v>0.035074940566683574</v>
      </c>
      <c r="X269" s="18">
        <v>8.488135617137425</v>
      </c>
      <c r="Y269" s="18"/>
      <c r="Z269" s="19">
        <v>1.0326392384561672E-05</v>
      </c>
      <c r="AA269" s="4">
        <v>0</v>
      </c>
      <c r="AB269" s="4">
        <v>0</v>
      </c>
      <c r="AC269" s="4">
        <v>0</v>
      </c>
      <c r="AD269" s="4">
        <v>0</v>
      </c>
      <c r="AE269" s="4">
        <v>1.1354622677349305E-06</v>
      </c>
      <c r="AF269" s="4">
        <v>0</v>
      </c>
      <c r="AG269" s="4">
        <v>0.001434887293401005</v>
      </c>
      <c r="AH269" s="19">
        <v>0</v>
      </c>
      <c r="AI269" s="17">
        <v>0</v>
      </c>
      <c r="AJ269" s="4">
        <v>0</v>
      </c>
      <c r="AK269" s="4">
        <v>0</v>
      </c>
      <c r="AL269" s="4">
        <v>0</v>
      </c>
      <c r="AM269" s="4">
        <v>0</v>
      </c>
      <c r="AN269" s="4">
        <v>0</v>
      </c>
      <c r="AO269" s="4">
        <v>0</v>
      </c>
      <c r="AP269" s="6">
        <v>0.0014463491480533016</v>
      </c>
      <c r="AQ269">
        <v>3.5484391285267964</v>
      </c>
      <c r="AR269">
        <v>0</v>
      </c>
      <c r="AS269">
        <v>30.119632552092387</v>
      </c>
      <c r="AT269">
        <v>0</v>
      </c>
      <c r="AU269">
        <v>0</v>
      </c>
      <c r="AV269">
        <v>3.5484391285267964</v>
      </c>
      <c r="AW269">
        <v>1</v>
      </c>
      <c r="AX269" s="53">
        <f>100*(C274+C275+C276+C277+C278+C279+C280+C281)/C282</f>
        <v>14.462809917355372</v>
      </c>
      <c r="AY269" s="53">
        <f>100*(X274+X275+X276+X277+X278+X279+X280+X281)/X282</f>
        <v>13.161689592865288</v>
      </c>
      <c r="AZ269" s="53" t="s">
        <v>96</v>
      </c>
    </row>
    <row r="270" spans="2:49" ht="12.75">
      <c r="B270" s="3" t="s">
        <v>11</v>
      </c>
      <c r="C270">
        <v>12</v>
      </c>
      <c r="G270" s="19">
        <v>0.0023322668082376027</v>
      </c>
      <c r="H270" s="4">
        <v>0</v>
      </c>
      <c r="I270" s="4">
        <v>0</v>
      </c>
      <c r="J270" s="4">
        <v>0</v>
      </c>
      <c r="K270" s="4">
        <v>0</v>
      </c>
      <c r="L270" s="4">
        <v>0.029428952289399603</v>
      </c>
      <c r="M270" s="4">
        <v>0</v>
      </c>
      <c r="N270" s="27">
        <v>0.01097255085749873</v>
      </c>
      <c r="O270" s="4">
        <v>0</v>
      </c>
      <c r="P270" s="4">
        <v>0</v>
      </c>
      <c r="Q270" s="4">
        <v>0</v>
      </c>
      <c r="R270" s="4">
        <v>0</v>
      </c>
      <c r="S270" s="4">
        <v>0</v>
      </c>
      <c r="T270" s="4">
        <v>0</v>
      </c>
      <c r="U270" s="4">
        <v>0</v>
      </c>
      <c r="V270" s="17">
        <v>0</v>
      </c>
      <c r="W270" s="17">
        <v>0.04273376995513593</v>
      </c>
      <c r="X270" s="18">
        <v>10.341572329142895</v>
      </c>
      <c r="Y270" s="18"/>
      <c r="Z270" s="19">
        <v>9.86677338699173E-05</v>
      </c>
      <c r="AA270" s="4">
        <v>0</v>
      </c>
      <c r="AB270" s="4">
        <v>0</v>
      </c>
      <c r="AC270" s="4">
        <v>0</v>
      </c>
      <c r="AD270" s="4">
        <v>0</v>
      </c>
      <c r="AE270" s="4">
        <v>0.006050099980624993</v>
      </c>
      <c r="AF270" s="4">
        <v>0</v>
      </c>
      <c r="AG270" s="4">
        <v>0.00015017279345662615</v>
      </c>
      <c r="AH270" s="19">
        <v>0</v>
      </c>
      <c r="AI270" s="17">
        <v>0</v>
      </c>
      <c r="AJ270" s="4">
        <v>0</v>
      </c>
      <c r="AK270" s="4">
        <v>0</v>
      </c>
      <c r="AL270" s="4">
        <v>0</v>
      </c>
      <c r="AM270" s="4">
        <v>0</v>
      </c>
      <c r="AN270" s="4">
        <v>0</v>
      </c>
      <c r="AO270" s="4">
        <v>0</v>
      </c>
      <c r="AP270" s="6">
        <v>0.006298940507951537</v>
      </c>
      <c r="AQ270">
        <v>0.2659539818441198</v>
      </c>
      <c r="AR270">
        <v>0</v>
      </c>
      <c r="AS270">
        <v>2.750382339464521</v>
      </c>
      <c r="AT270">
        <v>0</v>
      </c>
      <c r="AU270">
        <v>0</v>
      </c>
      <c r="AV270">
        <v>0.2659539818441198</v>
      </c>
      <c r="AW270">
        <v>1</v>
      </c>
    </row>
    <row r="271" spans="1:49" ht="12.75">
      <c r="A271" s="15"/>
      <c r="B271" s="16" t="s">
        <v>12</v>
      </c>
      <c r="C271">
        <v>25</v>
      </c>
      <c r="G271" s="19">
        <v>0.0008709919877871718</v>
      </c>
      <c r="H271" s="17">
        <v>0</v>
      </c>
      <c r="I271" s="17">
        <v>0</v>
      </c>
      <c r="J271" s="17">
        <v>0</v>
      </c>
      <c r="K271" s="17">
        <v>0</v>
      </c>
      <c r="L271" s="17">
        <v>0.07880229621876386</v>
      </c>
      <c r="M271" s="17">
        <v>0</v>
      </c>
      <c r="N271" s="27">
        <v>0.02938134509326452</v>
      </c>
      <c r="O271" s="17">
        <v>0</v>
      </c>
      <c r="P271" s="17">
        <v>0</v>
      </c>
      <c r="Q271" s="17">
        <v>0</v>
      </c>
      <c r="R271" s="17">
        <v>0</v>
      </c>
      <c r="S271" s="17">
        <v>0</v>
      </c>
      <c r="T271" s="17">
        <v>0</v>
      </c>
      <c r="U271" s="17">
        <v>0</v>
      </c>
      <c r="V271" s="17">
        <v>0</v>
      </c>
      <c r="W271" s="17">
        <v>0.10905463329981556</v>
      </c>
      <c r="X271" s="18">
        <v>26.391221258555365</v>
      </c>
      <c r="Y271" s="18"/>
      <c r="Z271" s="19">
        <v>1.3760905435661923E-05</v>
      </c>
      <c r="AA271" s="4">
        <v>0</v>
      </c>
      <c r="AB271" s="4">
        <v>0</v>
      </c>
      <c r="AC271" s="17">
        <v>0</v>
      </c>
      <c r="AD271" s="17">
        <v>0</v>
      </c>
      <c r="AE271" s="17">
        <v>0.043380114598250204</v>
      </c>
      <c r="AF271" s="17">
        <v>0</v>
      </c>
      <c r="AG271" s="17">
        <v>0.0010767612123022859</v>
      </c>
      <c r="AH271" s="19">
        <v>0</v>
      </c>
      <c r="AI271" s="17">
        <v>0</v>
      </c>
      <c r="AJ271" s="17">
        <v>0</v>
      </c>
      <c r="AK271" s="17">
        <v>0</v>
      </c>
      <c r="AL271" s="17">
        <v>0</v>
      </c>
      <c r="AM271" s="17">
        <v>0</v>
      </c>
      <c r="AN271" s="17">
        <v>0</v>
      </c>
      <c r="AO271" s="17">
        <v>0</v>
      </c>
      <c r="AP271" s="6">
        <v>0.04447063671598815</v>
      </c>
      <c r="AQ271">
        <v>0.0733386519439276</v>
      </c>
      <c r="AR271">
        <v>0</v>
      </c>
      <c r="AS271">
        <v>1.9354965902563748</v>
      </c>
      <c r="AT271">
        <v>0</v>
      </c>
      <c r="AU271">
        <v>0</v>
      </c>
      <c r="AV271">
        <v>0.0733386519439276</v>
      </c>
      <c r="AW271">
        <v>1</v>
      </c>
    </row>
    <row r="272" spans="1:49" ht="12.75">
      <c r="A272" s="15"/>
      <c r="B272" s="16" t="s">
        <v>13</v>
      </c>
      <c r="C272">
        <v>39</v>
      </c>
      <c r="G272" s="19">
        <v>0.00015526520386536494</v>
      </c>
      <c r="H272" s="17">
        <v>0</v>
      </c>
      <c r="I272" s="17">
        <v>0</v>
      </c>
      <c r="J272" s="17">
        <v>0</v>
      </c>
      <c r="K272" s="17">
        <v>0</v>
      </c>
      <c r="L272" s="17">
        <v>0.0019591636173952806</v>
      </c>
      <c r="M272" s="17">
        <v>0</v>
      </c>
      <c r="N272" s="27">
        <v>0.16482067797259953</v>
      </c>
      <c r="O272" s="17">
        <v>0</v>
      </c>
      <c r="P272" s="17">
        <v>0</v>
      </c>
      <c r="Q272" s="17">
        <v>0</v>
      </c>
      <c r="R272" s="17">
        <v>0</v>
      </c>
      <c r="S272" s="17">
        <v>0</v>
      </c>
      <c r="T272" s="17">
        <v>0</v>
      </c>
      <c r="U272" s="17">
        <v>0</v>
      </c>
      <c r="V272" s="17">
        <v>0</v>
      </c>
      <c r="W272" s="17">
        <v>0.16693510679386017</v>
      </c>
      <c r="X272" s="18">
        <v>40.39829584411416</v>
      </c>
      <c r="Y272" s="18"/>
      <c r="Z272" s="19">
        <v>4.3728740247098544E-07</v>
      </c>
      <c r="AA272" s="4">
        <v>0</v>
      </c>
      <c r="AB272" s="4">
        <v>0</v>
      </c>
      <c r="AC272" s="17">
        <v>0</v>
      </c>
      <c r="AD272" s="17">
        <v>0</v>
      </c>
      <c r="AE272" s="17">
        <v>2.6813552936213596E-05</v>
      </c>
      <c r="AF272" s="17">
        <v>0</v>
      </c>
      <c r="AG272" s="17">
        <v>0.033884372464316734</v>
      </c>
      <c r="AH272" s="19">
        <v>0</v>
      </c>
      <c r="AI272" s="17">
        <v>0</v>
      </c>
      <c r="AJ272" s="17">
        <v>0</v>
      </c>
      <c r="AK272" s="17">
        <v>0</v>
      </c>
      <c r="AL272" s="17">
        <v>0</v>
      </c>
      <c r="AM272" s="17">
        <v>0</v>
      </c>
      <c r="AN272" s="17">
        <v>0</v>
      </c>
      <c r="AO272" s="17">
        <v>0</v>
      </c>
      <c r="AP272" s="6">
        <v>0.03391162330465542</v>
      </c>
      <c r="AQ272">
        <v>0.04839885512031559</v>
      </c>
      <c r="AR272">
        <v>0</v>
      </c>
      <c r="AS272">
        <v>1.9552312676669286</v>
      </c>
      <c r="AT272">
        <v>0</v>
      </c>
      <c r="AU272">
        <v>0</v>
      </c>
      <c r="AV272">
        <v>0.04839885512031559</v>
      </c>
      <c r="AW272">
        <v>1</v>
      </c>
    </row>
    <row r="273" spans="1:49" ht="13.5" thickBot="1">
      <c r="A273" s="11" t="s">
        <v>4</v>
      </c>
      <c r="B273" s="12" t="s">
        <v>14</v>
      </c>
      <c r="C273">
        <v>115</v>
      </c>
      <c r="G273" s="20">
        <v>5.798425294705712E-05</v>
      </c>
      <c r="H273" s="13">
        <v>0</v>
      </c>
      <c r="I273" s="13">
        <v>0</v>
      </c>
      <c r="J273" s="13">
        <v>0</v>
      </c>
      <c r="K273" s="13">
        <v>0</v>
      </c>
      <c r="L273" s="13">
        <v>0.005246078426469109</v>
      </c>
      <c r="M273" s="13">
        <v>0</v>
      </c>
      <c r="N273" s="28">
        <v>0.4413425174246751</v>
      </c>
      <c r="O273" s="13">
        <v>0</v>
      </c>
      <c r="P273" s="13">
        <v>0</v>
      </c>
      <c r="Q273" s="13">
        <v>0</v>
      </c>
      <c r="R273" s="13">
        <v>0</v>
      </c>
      <c r="S273" s="13">
        <v>0</v>
      </c>
      <c r="T273" s="13">
        <v>0</v>
      </c>
      <c r="U273" s="13">
        <v>0</v>
      </c>
      <c r="V273" s="13">
        <v>0</v>
      </c>
      <c r="W273" s="13">
        <v>0.4466465801040913</v>
      </c>
      <c r="X273" s="14">
        <v>108.0884723851901</v>
      </c>
      <c r="Y273" s="14"/>
      <c r="Z273" s="20">
        <v>6.098721798498839E-08</v>
      </c>
      <c r="AA273" s="13">
        <v>0</v>
      </c>
      <c r="AB273" s="13">
        <v>0</v>
      </c>
      <c r="AC273" s="13">
        <v>0</v>
      </c>
      <c r="AD273" s="13">
        <v>0</v>
      </c>
      <c r="AE273" s="13">
        <v>0.0001922571532510501</v>
      </c>
      <c r="AF273" s="13">
        <v>0</v>
      </c>
      <c r="AG273" s="13">
        <v>0.24295597846302164</v>
      </c>
      <c r="AH273" s="20">
        <v>0</v>
      </c>
      <c r="AI273" s="13">
        <v>0</v>
      </c>
      <c r="AJ273" s="13">
        <v>0</v>
      </c>
      <c r="AK273" s="13">
        <v>0</v>
      </c>
      <c r="AL273" s="13">
        <v>0</v>
      </c>
      <c r="AM273" s="13">
        <v>0</v>
      </c>
      <c r="AN273" s="13">
        <v>0</v>
      </c>
      <c r="AO273" s="13">
        <v>0</v>
      </c>
      <c r="AP273" s="6">
        <v>0.24314829660349066</v>
      </c>
      <c r="AQ273">
        <v>0.44194549997937593</v>
      </c>
      <c r="AR273">
        <v>0</v>
      </c>
      <c r="AS273">
        <v>47.76921397027981</v>
      </c>
      <c r="AT273">
        <v>0</v>
      </c>
      <c r="AU273">
        <v>0</v>
      </c>
      <c r="AV273">
        <v>0.44194549997937593</v>
      </c>
      <c r="AW273">
        <v>1</v>
      </c>
    </row>
    <row r="274" spans="2:49" ht="12.75">
      <c r="B274" s="3" t="s">
        <v>7</v>
      </c>
      <c r="C274">
        <v>3</v>
      </c>
      <c r="G274" s="19">
        <v>0.004599741347678998</v>
      </c>
      <c r="H274" s="4">
        <v>0</v>
      </c>
      <c r="I274" s="4">
        <v>0</v>
      </c>
      <c r="J274" s="4">
        <v>0</v>
      </c>
      <c r="K274" s="4">
        <v>0</v>
      </c>
      <c r="L274" s="4">
        <v>0.0003427837138982992</v>
      </c>
      <c r="M274" s="4">
        <v>0</v>
      </c>
      <c r="N274" s="27">
        <v>0.00012780651165845896</v>
      </c>
      <c r="O274" s="4">
        <v>0</v>
      </c>
      <c r="P274" s="4">
        <v>0</v>
      </c>
      <c r="Q274" s="4">
        <v>0</v>
      </c>
      <c r="R274" s="4">
        <v>0</v>
      </c>
      <c r="S274" s="4">
        <v>0</v>
      </c>
      <c r="T274" s="4">
        <v>0</v>
      </c>
      <c r="U274" s="4">
        <v>0</v>
      </c>
      <c r="V274" s="17">
        <v>0</v>
      </c>
      <c r="W274" s="17">
        <v>0.005070331573235756</v>
      </c>
      <c r="X274" s="18">
        <v>1.2270202407230528</v>
      </c>
      <c r="Y274" s="18"/>
      <c r="Z274" s="19">
        <v>0.00038378280505198725</v>
      </c>
      <c r="AA274" s="4">
        <v>0</v>
      </c>
      <c r="AB274" s="19">
        <v>0</v>
      </c>
      <c r="AC274" s="4">
        <v>0</v>
      </c>
      <c r="AD274" s="4">
        <v>0</v>
      </c>
      <c r="AE274" s="4">
        <v>8.208301676301715E-07</v>
      </c>
      <c r="AF274" s="4">
        <v>0</v>
      </c>
      <c r="AG274" s="4">
        <v>2.0374268131311085E-08</v>
      </c>
      <c r="AH274" s="19">
        <v>0</v>
      </c>
      <c r="AI274" s="17">
        <v>0</v>
      </c>
      <c r="AJ274" s="4">
        <v>0</v>
      </c>
      <c r="AK274" s="4">
        <v>0</v>
      </c>
      <c r="AL274" s="4">
        <v>0</v>
      </c>
      <c r="AM274" s="4">
        <v>0</v>
      </c>
      <c r="AN274" s="4">
        <v>0</v>
      </c>
      <c r="AO274" s="4">
        <v>0</v>
      </c>
      <c r="AP274" s="6">
        <v>0.0003846240094877487</v>
      </c>
      <c r="AQ274">
        <v>2.561862569563954</v>
      </c>
      <c r="AR274">
        <v>1</v>
      </c>
      <c r="AS274">
        <v>3.1434572268057415</v>
      </c>
      <c r="AT274">
        <v>1.2270202407230528</v>
      </c>
      <c r="AU274">
        <v>3</v>
      </c>
      <c r="AV274">
        <v>0</v>
      </c>
      <c r="AW274">
        <v>0</v>
      </c>
    </row>
    <row r="275" spans="2:49" ht="12.75">
      <c r="B275" s="3" t="s">
        <v>15</v>
      </c>
      <c r="C275">
        <v>3</v>
      </c>
      <c r="G275" s="19">
        <v>0.0017177871097643408</v>
      </c>
      <c r="H275" s="4">
        <v>0</v>
      </c>
      <c r="I275" s="4">
        <v>0</v>
      </c>
      <c r="J275" s="4">
        <v>0</v>
      </c>
      <c r="K275" s="4">
        <v>0</v>
      </c>
      <c r="L275" s="4">
        <v>0.0009178765012069982</v>
      </c>
      <c r="M275" s="4">
        <v>0</v>
      </c>
      <c r="N275" s="27">
        <v>0.0003422291929170903</v>
      </c>
      <c r="O275" s="4">
        <v>0</v>
      </c>
      <c r="P275" s="4">
        <v>0</v>
      </c>
      <c r="Q275" s="4">
        <v>0</v>
      </c>
      <c r="R275" s="4">
        <v>0</v>
      </c>
      <c r="S275" s="4">
        <v>0</v>
      </c>
      <c r="T275" s="4">
        <v>0</v>
      </c>
      <c r="U275" s="4">
        <v>0</v>
      </c>
      <c r="V275" s="17">
        <v>0</v>
      </c>
      <c r="W275" s="17">
        <v>0.002977892803888429</v>
      </c>
      <c r="X275" s="18">
        <v>0.7206500585409998</v>
      </c>
      <c r="Y275" s="18"/>
      <c r="Z275" s="19">
        <v>5.3525085466300066E-05</v>
      </c>
      <c r="AA275" s="4">
        <v>0</v>
      </c>
      <c r="AB275" s="19">
        <v>0</v>
      </c>
      <c r="AC275" s="4">
        <v>0</v>
      </c>
      <c r="AD275" s="4">
        <v>0</v>
      </c>
      <c r="AE275" s="4">
        <v>5.8854740998543615E-06</v>
      </c>
      <c r="AF275" s="4">
        <v>0</v>
      </c>
      <c r="AG275" s="4">
        <v>1.460865257139848E-07</v>
      </c>
      <c r="AH275" s="19">
        <v>0</v>
      </c>
      <c r="AI275" s="17">
        <v>0</v>
      </c>
      <c r="AJ275" s="4">
        <v>0</v>
      </c>
      <c r="AK275" s="4">
        <v>0</v>
      </c>
      <c r="AL275" s="4">
        <v>0</v>
      </c>
      <c r="AM275" s="4">
        <v>0</v>
      </c>
      <c r="AN275" s="4">
        <v>0</v>
      </c>
      <c r="AO275" s="4">
        <v>0</v>
      </c>
      <c r="AP275" s="6">
        <v>5.955664609186841E-05</v>
      </c>
      <c r="AQ275">
        <v>7.20937450022224</v>
      </c>
      <c r="AR275">
        <v>1</v>
      </c>
      <c r="AS275">
        <v>5.195436155629149</v>
      </c>
      <c r="AT275">
        <v>0.7206500585409998</v>
      </c>
      <c r="AU275">
        <v>3</v>
      </c>
      <c r="AV275">
        <v>0</v>
      </c>
      <c r="AW275">
        <v>0</v>
      </c>
    </row>
    <row r="276" spans="2:49" ht="12.75">
      <c r="B276" s="3" t="s">
        <v>16</v>
      </c>
      <c r="C276">
        <v>0</v>
      </c>
      <c r="G276" s="19">
        <v>0.0003062170140881112</v>
      </c>
      <c r="H276" s="4">
        <v>0</v>
      </c>
      <c r="I276" s="4">
        <v>0</v>
      </c>
      <c r="J276" s="4">
        <v>0</v>
      </c>
      <c r="K276" s="4">
        <v>0</v>
      </c>
      <c r="L276" s="4">
        <v>2.2820023434782023E-05</v>
      </c>
      <c r="M276" s="4">
        <v>0</v>
      </c>
      <c r="N276" s="27">
        <v>0.0019198048087846456</v>
      </c>
      <c r="O276" s="4">
        <v>0</v>
      </c>
      <c r="P276" s="4">
        <v>0</v>
      </c>
      <c r="Q276" s="4">
        <v>0</v>
      </c>
      <c r="R276" s="4">
        <v>0</v>
      </c>
      <c r="S276" s="4">
        <v>0</v>
      </c>
      <c r="T276" s="4">
        <v>0</v>
      </c>
      <c r="U276" s="4">
        <v>0</v>
      </c>
      <c r="V276" s="17">
        <v>0</v>
      </c>
      <c r="W276" s="17">
        <v>0.002248841846307539</v>
      </c>
      <c r="X276" s="18">
        <v>0.5442197268064244</v>
      </c>
      <c r="Y276" s="18"/>
      <c r="Z276" s="19">
        <v>1.7008942979826525E-06</v>
      </c>
      <c r="AA276" s="4">
        <v>0</v>
      </c>
      <c r="AB276" s="19">
        <v>0</v>
      </c>
      <c r="AC276" s="4">
        <v>0</v>
      </c>
      <c r="AD276" s="4">
        <v>0</v>
      </c>
      <c r="AE276" s="4">
        <v>3.6378527994373835E-09</v>
      </c>
      <c r="AF276" s="4">
        <v>0</v>
      </c>
      <c r="AG276" s="4">
        <v>4.597166198740252E-06</v>
      </c>
      <c r="AH276" s="19">
        <v>0</v>
      </c>
      <c r="AI276" s="17">
        <v>0</v>
      </c>
      <c r="AJ276" s="4">
        <v>0</v>
      </c>
      <c r="AK276" s="4">
        <v>0</v>
      </c>
      <c r="AL276" s="4">
        <v>0</v>
      </c>
      <c r="AM276" s="4">
        <v>0</v>
      </c>
      <c r="AN276" s="4">
        <v>0</v>
      </c>
      <c r="AO276" s="4">
        <v>0</v>
      </c>
      <c r="AP276" s="6">
        <v>6.301698349522342E-06</v>
      </c>
      <c r="AQ276">
        <v>0.5442197268064244</v>
      </c>
      <c r="AR276">
        <v>1</v>
      </c>
      <c r="AS276">
        <v>0.2961751110452592</v>
      </c>
      <c r="AT276">
        <v>0.5442197268064244</v>
      </c>
      <c r="AU276">
        <v>0</v>
      </c>
      <c r="AV276">
        <v>0</v>
      </c>
      <c r="AW276">
        <v>0</v>
      </c>
    </row>
    <row r="277" spans="2:49" ht="12.75">
      <c r="B277" s="3" t="s">
        <v>17</v>
      </c>
      <c r="C277">
        <v>2</v>
      </c>
      <c r="G277" s="19">
        <v>0.00011435765618788703</v>
      </c>
      <c r="H277" s="4">
        <v>0</v>
      </c>
      <c r="I277" s="4">
        <v>0</v>
      </c>
      <c r="J277" s="4">
        <v>0</v>
      </c>
      <c r="K277" s="4">
        <v>0</v>
      </c>
      <c r="L277" s="4">
        <v>6.110547969030379E-05</v>
      </c>
      <c r="M277" s="4">
        <v>0</v>
      </c>
      <c r="N277" s="27">
        <v>0.005140686822158747</v>
      </c>
      <c r="O277" s="4">
        <v>0</v>
      </c>
      <c r="P277" s="4">
        <v>0</v>
      </c>
      <c r="Q277" s="4">
        <v>0</v>
      </c>
      <c r="R277" s="4">
        <v>0</v>
      </c>
      <c r="S277" s="4">
        <v>0</v>
      </c>
      <c r="T277" s="4">
        <v>0</v>
      </c>
      <c r="U277" s="4">
        <v>0</v>
      </c>
      <c r="V277" s="17">
        <v>0</v>
      </c>
      <c r="W277" s="17">
        <v>0.005316149958036937</v>
      </c>
      <c r="X277" s="18">
        <v>1.2865082898449387</v>
      </c>
      <c r="Y277" s="18"/>
      <c r="Z277" s="19">
        <v>2.3721884219469278E-07</v>
      </c>
      <c r="AA277" s="4">
        <v>0</v>
      </c>
      <c r="AB277" s="19">
        <v>0</v>
      </c>
      <c r="AC277" s="4">
        <v>0</v>
      </c>
      <c r="AD277" s="4">
        <v>0</v>
      </c>
      <c r="AE277" s="4">
        <v>2.6083944370594807E-08</v>
      </c>
      <c r="AF277" s="4">
        <v>0</v>
      </c>
      <c r="AG277" s="4">
        <v>3.296236379021842E-05</v>
      </c>
      <c r="AH277" s="19">
        <v>0</v>
      </c>
      <c r="AI277" s="17">
        <v>0</v>
      </c>
      <c r="AJ277" s="4">
        <v>0</v>
      </c>
      <c r="AK277" s="4">
        <v>0</v>
      </c>
      <c r="AL277" s="4">
        <v>0</v>
      </c>
      <c r="AM277" s="4">
        <v>0</v>
      </c>
      <c r="AN277" s="4">
        <v>0</v>
      </c>
      <c r="AO277" s="4">
        <v>0</v>
      </c>
      <c r="AP277" s="6">
        <v>3.322566657678371E-05</v>
      </c>
      <c r="AQ277">
        <v>0.39569929278990623</v>
      </c>
      <c r="AR277">
        <v>1</v>
      </c>
      <c r="AS277">
        <v>0.509070420459994</v>
      </c>
      <c r="AT277">
        <v>1.2865082898449387</v>
      </c>
      <c r="AU277">
        <v>2</v>
      </c>
      <c r="AV277">
        <v>0</v>
      </c>
      <c r="AW277">
        <v>0</v>
      </c>
    </row>
    <row r="278" spans="2:49" ht="12.75">
      <c r="B278" s="3" t="s">
        <v>18</v>
      </c>
      <c r="C278">
        <v>4</v>
      </c>
      <c r="G278" s="19">
        <v>0.00035349112199267225</v>
      </c>
      <c r="H278" s="4">
        <v>0</v>
      </c>
      <c r="I278" s="4">
        <v>0</v>
      </c>
      <c r="J278" s="4">
        <v>0</v>
      </c>
      <c r="K278" s="4">
        <v>0</v>
      </c>
      <c r="L278" s="4">
        <v>0.0044604130741412494</v>
      </c>
      <c r="M278" s="4">
        <v>0</v>
      </c>
      <c r="N278" s="27">
        <v>0.001663059860921254</v>
      </c>
      <c r="O278" s="4">
        <v>0</v>
      </c>
      <c r="P278" s="4">
        <v>0</v>
      </c>
      <c r="Q278" s="4">
        <v>0</v>
      </c>
      <c r="R278" s="4">
        <v>0</v>
      </c>
      <c r="S278" s="4">
        <v>0</v>
      </c>
      <c r="T278" s="4">
        <v>0</v>
      </c>
      <c r="U278" s="4">
        <v>0</v>
      </c>
      <c r="V278" s="17">
        <v>0</v>
      </c>
      <c r="W278" s="17">
        <v>0.006476964057055176</v>
      </c>
      <c r="X278" s="18">
        <v>1.5674253018073525</v>
      </c>
      <c r="Y278" s="18"/>
      <c r="Z278" s="19">
        <v>2.2666043201678485E-06</v>
      </c>
      <c r="AA278" s="4">
        <v>0</v>
      </c>
      <c r="AB278" s="19">
        <v>0</v>
      </c>
      <c r="AC278" s="4">
        <v>0</v>
      </c>
      <c r="AD278" s="4">
        <v>0</v>
      </c>
      <c r="AE278" s="4">
        <v>0.00013898345706015068</v>
      </c>
      <c r="AF278" s="4">
        <v>0</v>
      </c>
      <c r="AG278" s="4">
        <v>3.449783318923896E-06</v>
      </c>
      <c r="AH278" s="19">
        <v>0</v>
      </c>
      <c r="AI278" s="17">
        <v>0</v>
      </c>
      <c r="AJ278" s="4">
        <v>0</v>
      </c>
      <c r="AK278" s="4">
        <v>0</v>
      </c>
      <c r="AL278" s="4">
        <v>0</v>
      </c>
      <c r="AM278" s="4">
        <v>0</v>
      </c>
      <c r="AN278" s="4">
        <v>0</v>
      </c>
      <c r="AO278" s="4">
        <v>0</v>
      </c>
      <c r="AP278" s="6">
        <v>0.00014469984469924242</v>
      </c>
      <c r="AQ278">
        <v>3.775248272095548</v>
      </c>
      <c r="AR278">
        <v>1</v>
      </c>
      <c r="AS278">
        <v>5.91741966228705</v>
      </c>
      <c r="AT278">
        <v>1.5674253018073525</v>
      </c>
      <c r="AU278">
        <v>4</v>
      </c>
      <c r="AV278">
        <v>0</v>
      </c>
      <c r="AW278">
        <v>0</v>
      </c>
    </row>
    <row r="279" spans="2:49" ht="12.75">
      <c r="B279" s="16" t="s">
        <v>19</v>
      </c>
      <c r="C279">
        <v>2</v>
      </c>
      <c r="G279" s="19">
        <v>0.00013201231262308853</v>
      </c>
      <c r="H279" s="4">
        <v>0</v>
      </c>
      <c r="I279" s="4">
        <v>0</v>
      </c>
      <c r="J279" s="4">
        <v>0</v>
      </c>
      <c r="K279" s="4">
        <v>0</v>
      </c>
      <c r="L279" s="4">
        <v>0.011943707301232535</v>
      </c>
      <c r="M279" s="4">
        <v>0</v>
      </c>
      <c r="N279" s="27">
        <v>0.004453197466940017</v>
      </c>
      <c r="O279" s="4">
        <v>0</v>
      </c>
      <c r="P279" s="4">
        <v>0</v>
      </c>
      <c r="Q279" s="4">
        <v>0</v>
      </c>
      <c r="R279" s="4">
        <v>0</v>
      </c>
      <c r="S279" s="4">
        <v>0</v>
      </c>
      <c r="T279" s="4">
        <v>0</v>
      </c>
      <c r="U279" s="4">
        <v>0</v>
      </c>
      <c r="V279" s="17">
        <v>0</v>
      </c>
      <c r="W279" s="17">
        <v>0.016528917080795638</v>
      </c>
      <c r="X279" s="18">
        <v>3.9999979335525446</v>
      </c>
      <c r="Y279" s="18"/>
      <c r="Z279" s="19">
        <v>3.1611679407792895E-07</v>
      </c>
      <c r="AA279" s="4">
        <v>0</v>
      </c>
      <c r="AB279" s="19">
        <v>0</v>
      </c>
      <c r="AC279" s="4">
        <v>0</v>
      </c>
      <c r="AD279" s="4">
        <v>0</v>
      </c>
      <c r="AE279" s="4">
        <v>0.0009965320100226672</v>
      </c>
      <c r="AF279" s="4">
        <v>0</v>
      </c>
      <c r="AG279" s="4">
        <v>2.4735458288838237E-05</v>
      </c>
      <c r="AH279" s="19">
        <v>0</v>
      </c>
      <c r="AI279" s="17">
        <v>0</v>
      </c>
      <c r="AJ279" s="4">
        <v>0</v>
      </c>
      <c r="AK279" s="4">
        <v>0</v>
      </c>
      <c r="AL279" s="4">
        <v>0</v>
      </c>
      <c r="AM279" s="4">
        <v>0</v>
      </c>
      <c r="AN279" s="4">
        <v>0</v>
      </c>
      <c r="AO279" s="4">
        <v>0</v>
      </c>
      <c r="AP279" s="6">
        <v>0.0010215835851055833</v>
      </c>
      <c r="AQ279">
        <v>0.9999984501646754</v>
      </c>
      <c r="AR279">
        <v>1</v>
      </c>
      <c r="AS279">
        <v>3.999991734214449</v>
      </c>
      <c r="AT279">
        <v>3.9999979335525446</v>
      </c>
      <c r="AU279">
        <v>2</v>
      </c>
      <c r="AV279">
        <v>0</v>
      </c>
      <c r="AW279">
        <v>0</v>
      </c>
    </row>
    <row r="280" spans="2:49" ht="12.75">
      <c r="B280" s="16" t="s">
        <v>20</v>
      </c>
      <c r="C280">
        <v>5</v>
      </c>
      <c r="G280" s="19">
        <v>2.3532844066954363E-05</v>
      </c>
      <c r="H280" s="4">
        <v>0</v>
      </c>
      <c r="I280" s="4">
        <v>0</v>
      </c>
      <c r="J280" s="4">
        <v>0</v>
      </c>
      <c r="K280" s="4">
        <v>0</v>
      </c>
      <c r="L280" s="4">
        <v>0.00029694156038845716</v>
      </c>
      <c r="M280" s="4">
        <v>0</v>
      </c>
      <c r="N280" s="27">
        <v>0.024981124019920257</v>
      </c>
      <c r="O280" s="4">
        <v>0</v>
      </c>
      <c r="P280" s="4">
        <v>0</v>
      </c>
      <c r="Q280" s="4">
        <v>0</v>
      </c>
      <c r="R280" s="4">
        <v>0</v>
      </c>
      <c r="S280" s="4">
        <v>0</v>
      </c>
      <c r="T280" s="4">
        <v>0</v>
      </c>
      <c r="U280" s="4">
        <v>0</v>
      </c>
      <c r="V280" s="17">
        <v>0</v>
      </c>
      <c r="W280" s="17">
        <v>0.025301598424375668</v>
      </c>
      <c r="X280" s="18">
        <v>6.122986818698911</v>
      </c>
      <c r="Y280" s="18"/>
      <c r="Z280" s="19">
        <v>1.004540670714548E-08</v>
      </c>
      <c r="AA280" s="4">
        <v>0</v>
      </c>
      <c r="AB280" s="19">
        <v>0</v>
      </c>
      <c r="AC280" s="4">
        <v>0</v>
      </c>
      <c r="AD280" s="4">
        <v>0</v>
      </c>
      <c r="AE280" s="4">
        <v>6.159634212780971E-07</v>
      </c>
      <c r="AF280" s="4">
        <v>0</v>
      </c>
      <c r="AG280" s="4">
        <v>0.0007783949423126764</v>
      </c>
      <c r="AH280" s="19">
        <v>0</v>
      </c>
      <c r="AI280" s="17">
        <v>0</v>
      </c>
      <c r="AJ280" s="4">
        <v>0</v>
      </c>
      <c r="AK280" s="4">
        <v>0</v>
      </c>
      <c r="AL280" s="4">
        <v>0</v>
      </c>
      <c r="AM280" s="4">
        <v>0</v>
      </c>
      <c r="AN280" s="4">
        <v>0</v>
      </c>
      <c r="AO280" s="4">
        <v>0</v>
      </c>
      <c r="AP280" s="6">
        <v>0.0007790209511406616</v>
      </c>
      <c r="AQ280">
        <v>0.20596147473652016</v>
      </c>
      <c r="AR280">
        <v>0</v>
      </c>
      <c r="AS280">
        <v>1.2610993949715017</v>
      </c>
      <c r="AT280">
        <v>0</v>
      </c>
      <c r="AU280">
        <v>0</v>
      </c>
      <c r="AV280">
        <v>0.20596147473652016</v>
      </c>
      <c r="AW280">
        <v>1</v>
      </c>
    </row>
    <row r="281" spans="2:49" ht="13.5" thickBot="1">
      <c r="B281" s="12" t="s">
        <v>21</v>
      </c>
      <c r="C281">
        <v>16</v>
      </c>
      <c r="G281" s="19">
        <v>8.788410725465328E-06</v>
      </c>
      <c r="H281" s="4">
        <v>0</v>
      </c>
      <c r="I281" s="4">
        <v>0</v>
      </c>
      <c r="J281" s="4">
        <v>0</v>
      </c>
      <c r="K281" s="4">
        <v>0</v>
      </c>
      <c r="L281" s="4">
        <v>0.0007951243581927244</v>
      </c>
      <c r="M281" s="4">
        <v>0</v>
      </c>
      <c r="N281" s="27">
        <v>0.06689228741603956</v>
      </c>
      <c r="O281" s="4">
        <v>0</v>
      </c>
      <c r="P281" s="4">
        <v>0</v>
      </c>
      <c r="Q281" s="4">
        <v>0</v>
      </c>
      <c r="R281" s="4">
        <v>0</v>
      </c>
      <c r="S281" s="4">
        <v>0</v>
      </c>
      <c r="T281" s="4">
        <v>0</v>
      </c>
      <c r="U281" s="4">
        <v>0</v>
      </c>
      <c r="V281" s="17">
        <v>0</v>
      </c>
      <c r="W281" s="17">
        <v>0.06769620018495774</v>
      </c>
      <c r="X281" s="18">
        <v>16.382480444759775</v>
      </c>
      <c r="Y281" s="18"/>
      <c r="Z281" s="19">
        <v>1.4010040196325924E-09</v>
      </c>
      <c r="AA281" s="4">
        <v>0</v>
      </c>
      <c r="AB281" s="19">
        <v>0</v>
      </c>
      <c r="AC281" s="4">
        <v>0</v>
      </c>
      <c r="AD281" s="4">
        <v>0</v>
      </c>
      <c r="AE281" s="4">
        <v>4.41654912959204E-06</v>
      </c>
      <c r="AF281" s="4">
        <v>0</v>
      </c>
      <c r="AG281" s="4">
        <v>0.005581207237625526</v>
      </c>
      <c r="AH281" s="19">
        <v>0</v>
      </c>
      <c r="AI281" s="17">
        <v>0</v>
      </c>
      <c r="AJ281" s="4">
        <v>0</v>
      </c>
      <c r="AK281" s="4">
        <v>0</v>
      </c>
      <c r="AL281" s="4">
        <v>0</v>
      </c>
      <c r="AM281" s="4">
        <v>0</v>
      </c>
      <c r="AN281" s="4">
        <v>0</v>
      </c>
      <c r="AO281" s="4">
        <v>0</v>
      </c>
      <c r="AP281" s="6">
        <v>0.005585625187759138</v>
      </c>
      <c r="AQ281">
        <v>0.008929739981495238</v>
      </c>
      <c r="AR281">
        <v>0</v>
      </c>
      <c r="AS281">
        <v>0.14629129062363525</v>
      </c>
      <c r="AT281">
        <v>0</v>
      </c>
      <c r="AU281">
        <v>0</v>
      </c>
      <c r="AV281">
        <v>0.008929739981495238</v>
      </c>
      <c r="AW281">
        <v>1</v>
      </c>
    </row>
    <row r="282" spans="3:49" ht="12.75">
      <c r="C282" s="2">
        <v>242</v>
      </c>
      <c r="D282" s="2">
        <v>0</v>
      </c>
      <c r="E282" s="2">
        <v>0</v>
      </c>
      <c r="F282" s="2">
        <v>0</v>
      </c>
      <c r="G282" s="33">
        <v>0.055129151663482645</v>
      </c>
      <c r="H282" s="2">
        <v>0</v>
      </c>
      <c r="I282" s="2">
        <v>0</v>
      </c>
      <c r="J282" s="2">
        <v>0</v>
      </c>
      <c r="K282" s="2">
        <v>0</v>
      </c>
      <c r="L282" s="2">
        <v>0.14314858194496996</v>
      </c>
      <c r="M282" s="2">
        <v>0</v>
      </c>
      <c r="N282" s="29">
        <v>0.8017222663915474</v>
      </c>
      <c r="O282" s="2">
        <v>0</v>
      </c>
      <c r="P282" s="2">
        <v>0</v>
      </c>
      <c r="Q282" s="2">
        <v>0</v>
      </c>
      <c r="R282" s="2">
        <v>0</v>
      </c>
      <c r="S282" s="2">
        <v>0</v>
      </c>
      <c r="T282" s="2">
        <v>0</v>
      </c>
      <c r="U282" s="2">
        <v>0</v>
      </c>
      <c r="V282" s="32">
        <v>0</v>
      </c>
      <c r="W282" s="32">
        <v>1</v>
      </c>
      <c r="X282" s="32">
        <v>242</v>
      </c>
      <c r="Y282" s="32"/>
      <c r="Z282" s="33">
        <v>0.019675619986858416</v>
      </c>
      <c r="AA282" s="2">
        <v>0</v>
      </c>
      <c r="AB282" s="2">
        <v>0</v>
      </c>
      <c r="AC282" s="2">
        <v>0</v>
      </c>
      <c r="AD282" s="2">
        <v>0</v>
      </c>
      <c r="AE282" s="2">
        <v>0.05108979577990776</v>
      </c>
      <c r="AF282" s="2">
        <v>0</v>
      </c>
      <c r="AG282" s="2">
        <v>0.28613505146627993</v>
      </c>
      <c r="AH282" s="2">
        <v>0</v>
      </c>
      <c r="AI282" s="2">
        <v>0</v>
      </c>
      <c r="AJ282" s="2">
        <v>0</v>
      </c>
      <c r="AK282" s="2">
        <v>0</v>
      </c>
      <c r="AL282" s="2">
        <v>0</v>
      </c>
      <c r="AM282" s="2">
        <v>0</v>
      </c>
      <c r="AN282" s="2">
        <v>0</v>
      </c>
      <c r="AO282" s="2">
        <v>0</v>
      </c>
      <c r="AP282" s="2">
        <v>0.35690046723304614</v>
      </c>
      <c r="AQ282" s="36">
        <v>21.339164188441465</v>
      </c>
      <c r="AR282" s="36">
        <v>7</v>
      </c>
      <c r="AT282">
        <v>12.936479212106384</v>
      </c>
      <c r="AU282">
        <v>16</v>
      </c>
      <c r="AV282" s="36">
        <v>5.148101664579045</v>
      </c>
      <c r="AW282" s="36">
        <v>9</v>
      </c>
    </row>
    <row r="283" spans="13:48" ht="12.75">
      <c r="M283" s="15"/>
      <c r="N283" s="15"/>
      <c r="AQ283" t="s">
        <v>38</v>
      </c>
      <c r="AU283" s="36">
        <v>0.725480207093239</v>
      </c>
      <c r="AV283" s="41">
        <v>5.873581871672283</v>
      </c>
    </row>
    <row r="284" spans="5:47" ht="12.75">
      <c r="E284" t="s">
        <v>106</v>
      </c>
      <c r="F284">
        <v>0</v>
      </c>
      <c r="M284" s="15"/>
      <c r="N284" s="15"/>
      <c r="AP284" t="s">
        <v>106</v>
      </c>
      <c r="AU284" t="s">
        <v>61</v>
      </c>
    </row>
    <row r="285" ht="12.75">
      <c r="AP285" t="s">
        <v>0</v>
      </c>
    </row>
    <row r="286" ht="12.75">
      <c r="A286" t="s">
        <v>67</v>
      </c>
    </row>
    <row r="287" ht="12.75">
      <c r="D287" t="s">
        <v>50</v>
      </c>
    </row>
    <row r="288" ht="12.75">
      <c r="D288" s="9" t="s">
        <v>36</v>
      </c>
    </row>
    <row r="289" spans="1:2" ht="12.75">
      <c r="A289" t="s">
        <v>35</v>
      </c>
      <c r="B289" s="1"/>
    </row>
    <row r="291" ht="12.75">
      <c r="E291" t="s">
        <v>49</v>
      </c>
    </row>
    <row r="292" spans="2:3" ht="12.75">
      <c r="B292" t="s">
        <v>98</v>
      </c>
      <c r="C292" s="1">
        <v>0.05032383119196823</v>
      </c>
    </row>
    <row r="293" spans="2:26" ht="12.75">
      <c r="B293" t="s">
        <v>99</v>
      </c>
      <c r="C293" s="1">
        <v>0.17737157298017123</v>
      </c>
      <c r="Z293" s="21" t="s">
        <v>34</v>
      </c>
    </row>
    <row r="294" spans="2:3" ht="12.75">
      <c r="B294" t="s">
        <v>100</v>
      </c>
      <c r="C294" s="1">
        <v>0.14397416076731684</v>
      </c>
    </row>
    <row r="295" spans="2:42" ht="12.75">
      <c r="B295" t="s">
        <v>5</v>
      </c>
      <c r="C295" s="1">
        <v>0.13137425651051024</v>
      </c>
      <c r="G295" s="21" t="s">
        <v>107</v>
      </c>
      <c r="Z295" s="21" t="s">
        <v>101</v>
      </c>
      <c r="AP295" t="s">
        <v>108</v>
      </c>
    </row>
    <row r="296" spans="23:43" ht="12.75">
      <c r="W296" s="30" t="s">
        <v>22</v>
      </c>
      <c r="X296" s="15" t="s">
        <v>2</v>
      </c>
      <c r="AP296" t="s">
        <v>22</v>
      </c>
      <c r="AQ296" t="s">
        <v>37</v>
      </c>
    </row>
    <row r="297" spans="5:52" ht="12.75">
      <c r="E297" s="2"/>
      <c r="F297" s="2"/>
      <c r="G297" s="37">
        <v>0.08453442880203266</v>
      </c>
      <c r="H297" s="5">
        <v>0</v>
      </c>
      <c r="I297" s="5">
        <v>0</v>
      </c>
      <c r="J297" s="5">
        <v>0</v>
      </c>
      <c r="K297" s="5">
        <v>0</v>
      </c>
      <c r="L297" s="5">
        <v>0</v>
      </c>
      <c r="M297" s="5">
        <v>0</v>
      </c>
      <c r="N297" s="25">
        <v>0</v>
      </c>
      <c r="O297" s="38">
        <v>0.6510999273878227</v>
      </c>
      <c r="P297" s="38">
        <v>0.029684102615931497</v>
      </c>
      <c r="Q297" s="38">
        <v>0.16197563842724919</v>
      </c>
      <c r="R297" s="38">
        <v>0</v>
      </c>
      <c r="S297" s="5">
        <v>0</v>
      </c>
      <c r="T297" s="5">
        <v>0</v>
      </c>
      <c r="U297" s="5">
        <v>0</v>
      </c>
      <c r="V297" s="39">
        <v>0.0727059027669637</v>
      </c>
      <c r="W297" s="17">
        <v>1</v>
      </c>
      <c r="X297" s="15" t="s">
        <v>97</v>
      </c>
      <c r="Z297" s="34">
        <v>0.08453442880203266</v>
      </c>
      <c r="AA297" s="8">
        <v>0</v>
      </c>
      <c r="AB297" s="8">
        <v>0</v>
      </c>
      <c r="AC297" s="8">
        <v>0</v>
      </c>
      <c r="AD297" s="8">
        <v>0</v>
      </c>
      <c r="AE297" s="8">
        <v>0</v>
      </c>
      <c r="AF297" s="8">
        <v>0</v>
      </c>
      <c r="AG297" s="8">
        <v>0</v>
      </c>
      <c r="AH297" s="34">
        <v>0.6510999273878227</v>
      </c>
      <c r="AI297" s="35">
        <v>0.029684102615931497</v>
      </c>
      <c r="AJ297" s="8">
        <v>0.16197563842724919</v>
      </c>
      <c r="AK297" s="8">
        <v>0</v>
      </c>
      <c r="AL297" s="8">
        <v>0</v>
      </c>
      <c r="AM297" s="8">
        <v>0</v>
      </c>
      <c r="AN297" s="8">
        <v>0</v>
      </c>
      <c r="AO297" s="8">
        <v>0.0727059027669637</v>
      </c>
      <c r="AP297" s="6">
        <v>1</v>
      </c>
      <c r="AX297" s="53" t="s">
        <v>90</v>
      </c>
      <c r="AY297" s="53" t="s">
        <v>91</v>
      </c>
      <c r="AZ297" s="53"/>
    </row>
    <row r="298" spans="2:52" ht="12.75">
      <c r="B298" t="s">
        <v>1</v>
      </c>
      <c r="C298" t="s">
        <v>102</v>
      </c>
      <c r="D298" t="s">
        <v>103</v>
      </c>
      <c r="E298" t="s">
        <v>104</v>
      </c>
      <c r="F298" t="s">
        <v>105</v>
      </c>
      <c r="G298" s="23" t="s">
        <v>6</v>
      </c>
      <c r="H298" s="7" t="s">
        <v>8</v>
      </c>
      <c r="I298" s="7" t="s">
        <v>9</v>
      </c>
      <c r="J298" s="7" t="s">
        <v>10</v>
      </c>
      <c r="K298" s="7" t="s">
        <v>11</v>
      </c>
      <c r="L298" s="7" t="s">
        <v>12</v>
      </c>
      <c r="M298" s="7" t="s">
        <v>13</v>
      </c>
      <c r="N298" s="26" t="s">
        <v>14</v>
      </c>
      <c r="O298" s="7" t="s">
        <v>7</v>
      </c>
      <c r="P298" s="7" t="s">
        <v>15</v>
      </c>
      <c r="Q298" s="7" t="s">
        <v>16</v>
      </c>
      <c r="R298" s="7" t="s">
        <v>17</v>
      </c>
      <c r="S298" s="7" t="s">
        <v>18</v>
      </c>
      <c r="T298" s="7" t="s">
        <v>19</v>
      </c>
      <c r="U298" s="7" t="s">
        <v>20</v>
      </c>
      <c r="V298" s="31" t="s">
        <v>21</v>
      </c>
      <c r="W298" s="31"/>
      <c r="Z298" s="23" t="s">
        <v>6</v>
      </c>
      <c r="AA298" s="7" t="s">
        <v>8</v>
      </c>
      <c r="AB298" s="7" t="s">
        <v>9</v>
      </c>
      <c r="AC298" s="7" t="s">
        <v>10</v>
      </c>
      <c r="AD298" s="7" t="s">
        <v>11</v>
      </c>
      <c r="AE298" s="7" t="s">
        <v>12</v>
      </c>
      <c r="AF298" s="7" t="s">
        <v>13</v>
      </c>
      <c r="AG298" s="26" t="s">
        <v>14</v>
      </c>
      <c r="AH298" s="7" t="s">
        <v>7</v>
      </c>
      <c r="AI298" s="7" t="s">
        <v>15</v>
      </c>
      <c r="AJ298" s="7" t="s">
        <v>16</v>
      </c>
      <c r="AK298" s="7" t="s">
        <v>17</v>
      </c>
      <c r="AL298" s="7" t="s">
        <v>18</v>
      </c>
      <c r="AM298" s="7" t="s">
        <v>19</v>
      </c>
      <c r="AN298" s="7" t="s">
        <v>20</v>
      </c>
      <c r="AO298" s="31" t="s">
        <v>21</v>
      </c>
      <c r="AP298" s="6"/>
      <c r="AR298" t="s">
        <v>65</v>
      </c>
      <c r="AS298" t="s">
        <v>59</v>
      </c>
      <c r="AT298" t="s">
        <v>60</v>
      </c>
      <c r="AU298" t="s">
        <v>62</v>
      </c>
      <c r="AW298" t="s">
        <v>63</v>
      </c>
      <c r="AX298" s="53"/>
      <c r="AY298" s="53"/>
      <c r="AZ298" s="53"/>
    </row>
    <row r="299" spans="2:52" ht="12.75">
      <c r="B299" s="16" t="s">
        <v>6</v>
      </c>
      <c r="C299">
        <v>27</v>
      </c>
      <c r="G299" s="19">
        <v>0.04910576102703561</v>
      </c>
      <c r="H299" s="4">
        <v>0</v>
      </c>
      <c r="I299" s="4">
        <v>0</v>
      </c>
      <c r="J299" s="4">
        <v>0</v>
      </c>
      <c r="K299" s="4">
        <v>0</v>
      </c>
      <c r="L299" s="4">
        <v>0</v>
      </c>
      <c r="M299" s="4">
        <v>0</v>
      </c>
      <c r="N299" s="27">
        <v>0</v>
      </c>
      <c r="O299" s="4">
        <v>0.05720369010643677</v>
      </c>
      <c r="P299" s="4">
        <v>0.0004386296690620716</v>
      </c>
      <c r="Q299" s="4">
        <v>0.003068360640310492</v>
      </c>
      <c r="R299" s="4">
        <v>0</v>
      </c>
      <c r="S299" s="4">
        <v>0</v>
      </c>
      <c r="T299" s="4">
        <v>0</v>
      </c>
      <c r="U299" s="4">
        <v>0</v>
      </c>
      <c r="V299" s="17">
        <v>1.2275020118134958E-05</v>
      </c>
      <c r="W299" s="17">
        <v>0.10982871646296306</v>
      </c>
      <c r="X299" s="18">
        <v>26.57854938403706</v>
      </c>
      <c r="Y299" s="18"/>
      <c r="Z299" s="19">
        <v>0.028525368896635244</v>
      </c>
      <c r="AA299" s="4">
        <v>0</v>
      </c>
      <c r="AB299" s="4">
        <v>0</v>
      </c>
      <c r="AC299" s="4">
        <v>0</v>
      </c>
      <c r="AD299" s="4">
        <v>0</v>
      </c>
      <c r="AE299" s="4">
        <v>0</v>
      </c>
      <c r="AF299" s="4">
        <v>0</v>
      </c>
      <c r="AG299" s="4">
        <v>0</v>
      </c>
      <c r="AH299" s="19">
        <v>0.005025744934301234</v>
      </c>
      <c r="AI299" s="17">
        <v>6.4814486417468205E-06</v>
      </c>
      <c r="AJ299" s="4">
        <v>5.812501873999562E-05</v>
      </c>
      <c r="AK299" s="4">
        <v>0</v>
      </c>
      <c r="AL299" s="4">
        <v>0</v>
      </c>
      <c r="AM299" s="4">
        <v>0</v>
      </c>
      <c r="AN299" s="4">
        <v>0</v>
      </c>
      <c r="AO299" s="4">
        <v>2.072405584228335E-09</v>
      </c>
      <c r="AP299" s="6">
        <v>0.033615722370723806</v>
      </c>
      <c r="AQ299">
        <v>0.006682856130674275</v>
      </c>
      <c r="AR299">
        <v>0</v>
      </c>
      <c r="AS299">
        <v>0.17762062169554105</v>
      </c>
      <c r="AT299">
        <v>0</v>
      </c>
      <c r="AU299">
        <v>0</v>
      </c>
      <c r="AV299">
        <v>0.006682856130674275</v>
      </c>
      <c r="AW299">
        <v>1</v>
      </c>
      <c r="AX299" s="53">
        <f>100*(C303+C304+C305+C306+C311+C312+C313+C314)/C315</f>
        <v>10.743801652892563</v>
      </c>
      <c r="AY299" s="53">
        <f>100*(X303+X304+X305+X306+X311+X312+X313+X314)/X315</f>
        <v>11.571205480392326</v>
      </c>
      <c r="AZ299" s="53" t="s">
        <v>93</v>
      </c>
    </row>
    <row r="300" spans="2:52" ht="12.75">
      <c r="B300" s="16" t="s">
        <v>8</v>
      </c>
      <c r="C300">
        <v>5</v>
      </c>
      <c r="G300" s="19">
        <v>0.008259050613524908</v>
      </c>
      <c r="H300" s="4">
        <v>0</v>
      </c>
      <c r="I300" s="4">
        <v>0</v>
      </c>
      <c r="J300" s="4">
        <v>0</v>
      </c>
      <c r="K300" s="4">
        <v>0</v>
      </c>
      <c r="L300" s="4">
        <v>0</v>
      </c>
      <c r="M300" s="4">
        <v>0</v>
      </c>
      <c r="N300" s="27">
        <v>0</v>
      </c>
      <c r="O300" s="4">
        <v>0.00962103349970169</v>
      </c>
      <c r="P300" s="4">
        <v>0.0026079563761308633</v>
      </c>
      <c r="Q300" s="4">
        <v>0.0005160646184654368</v>
      </c>
      <c r="R300" s="4">
        <v>0</v>
      </c>
      <c r="S300" s="4">
        <v>0</v>
      </c>
      <c r="T300" s="4">
        <v>0</v>
      </c>
      <c r="U300" s="4">
        <v>0</v>
      </c>
      <c r="V300" s="17">
        <v>7.29834738554689E-05</v>
      </c>
      <c r="W300" s="17">
        <v>0.021077088581678366</v>
      </c>
      <c r="X300" s="18">
        <v>5.100655436766164</v>
      </c>
      <c r="Y300" s="18"/>
      <c r="Z300" s="19">
        <v>0.000806912851999137</v>
      </c>
      <c r="AA300" s="4">
        <v>0</v>
      </c>
      <c r="AB300" s="4">
        <v>0</v>
      </c>
      <c r="AC300" s="4">
        <v>0</v>
      </c>
      <c r="AD300" s="4">
        <v>0</v>
      </c>
      <c r="AE300" s="4">
        <v>0</v>
      </c>
      <c r="AF300" s="4">
        <v>0</v>
      </c>
      <c r="AG300" s="4">
        <v>0</v>
      </c>
      <c r="AH300" s="19">
        <v>0.00014216602046592913</v>
      </c>
      <c r="AI300" s="17">
        <v>0.00022912723850210934</v>
      </c>
      <c r="AJ300" s="4">
        <v>1.6442144819913453E-06</v>
      </c>
      <c r="AK300" s="4">
        <v>0</v>
      </c>
      <c r="AL300" s="4">
        <v>0</v>
      </c>
      <c r="AM300" s="4">
        <v>0</v>
      </c>
      <c r="AN300" s="4">
        <v>0</v>
      </c>
      <c r="AO300" s="4">
        <v>7.32621046338513E-08</v>
      </c>
      <c r="AP300" s="6">
        <v>0.0011799235875538004</v>
      </c>
      <c r="AQ300">
        <v>0.0019863166756095797</v>
      </c>
      <c r="AR300">
        <v>0</v>
      </c>
      <c r="AS300">
        <v>0.010131516950587297</v>
      </c>
      <c r="AT300">
        <v>0</v>
      </c>
      <c r="AU300">
        <v>0</v>
      </c>
      <c r="AV300">
        <v>0.0019863166756095797</v>
      </c>
      <c r="AW300">
        <v>1</v>
      </c>
      <c r="AX300" s="53">
        <f>100*(C301+C302+C305+C306+C309+C310+C313+C314)/C315</f>
        <v>33.47107438016529</v>
      </c>
      <c r="AY300" s="53">
        <f>100*(X301+X302+X305+X306+X309+X310+X313+X314)/X315</f>
        <v>32.88014459523272</v>
      </c>
      <c r="AZ300" s="53" t="s">
        <v>94</v>
      </c>
    </row>
    <row r="301" spans="2:52" ht="12.75">
      <c r="B301" s="16" t="s">
        <v>9</v>
      </c>
      <c r="C301">
        <v>8</v>
      </c>
      <c r="G301" s="19">
        <v>0.01058797117832125</v>
      </c>
      <c r="H301" s="4">
        <v>0</v>
      </c>
      <c r="I301" s="4">
        <v>0</v>
      </c>
      <c r="J301" s="4">
        <v>0</v>
      </c>
      <c r="K301" s="4">
        <v>0</v>
      </c>
      <c r="L301" s="4">
        <v>0</v>
      </c>
      <c r="M301" s="4">
        <v>0</v>
      </c>
      <c r="N301" s="27">
        <v>0</v>
      </c>
      <c r="O301" s="4">
        <v>0.01233401151867121</v>
      </c>
      <c r="P301" s="4">
        <v>9.457542652539075E-05</v>
      </c>
      <c r="Q301" s="4">
        <v>0.014230694607136128</v>
      </c>
      <c r="R301" s="4">
        <v>0</v>
      </c>
      <c r="S301" s="4">
        <v>0</v>
      </c>
      <c r="T301" s="4">
        <v>0</v>
      </c>
      <c r="U301" s="4">
        <v>0</v>
      </c>
      <c r="V301" s="17">
        <v>5.693009495127478E-05</v>
      </c>
      <c r="W301" s="17">
        <v>0.03730418282560525</v>
      </c>
      <c r="X301" s="18">
        <v>9.02761224379647</v>
      </c>
      <c r="Y301" s="18"/>
      <c r="Z301" s="19">
        <v>0.0013261476449494373</v>
      </c>
      <c r="AA301" s="4">
        <v>0</v>
      </c>
      <c r="AB301" s="4">
        <v>0</v>
      </c>
      <c r="AC301" s="4">
        <v>0</v>
      </c>
      <c r="AD301" s="4">
        <v>0</v>
      </c>
      <c r="AE301" s="4">
        <v>0</v>
      </c>
      <c r="AF301" s="4">
        <v>0</v>
      </c>
      <c r="AG301" s="4">
        <v>0</v>
      </c>
      <c r="AH301" s="19">
        <v>0.00023364745370659567</v>
      </c>
      <c r="AI301" s="17">
        <v>3.013232846614354E-07</v>
      </c>
      <c r="AJ301" s="4">
        <v>0.0012502662188458122</v>
      </c>
      <c r="AK301" s="4">
        <v>0</v>
      </c>
      <c r="AL301" s="4">
        <v>0</v>
      </c>
      <c r="AM301" s="4">
        <v>0</v>
      </c>
      <c r="AN301" s="4">
        <v>0</v>
      </c>
      <c r="AO301" s="4">
        <v>4.457733949813264E-08</v>
      </c>
      <c r="AP301" s="6">
        <v>0.0028104072181260047</v>
      </c>
      <c r="AQ301">
        <v>0.1169730040549828</v>
      </c>
      <c r="AR301">
        <v>0</v>
      </c>
      <c r="AS301">
        <v>1.055986923600417</v>
      </c>
      <c r="AT301">
        <v>0</v>
      </c>
      <c r="AU301">
        <v>0</v>
      </c>
      <c r="AV301">
        <v>0.1169730040549828</v>
      </c>
      <c r="AW301">
        <v>1</v>
      </c>
      <c r="AX301" s="53">
        <f>100*(C300+C302+C304+C306+C308+C310+C312+C314)/C315</f>
        <v>22.31404958677686</v>
      </c>
      <c r="AY301" s="53">
        <f>100*(X300+X302+X304+X306+X308+X310+X312+X314)/X315</f>
        <v>21.688113595828522</v>
      </c>
      <c r="AZ301" s="53" t="s">
        <v>95</v>
      </c>
    </row>
    <row r="302" spans="2:52" ht="12.75">
      <c r="B302" s="16" t="s">
        <v>10</v>
      </c>
      <c r="C302">
        <v>4</v>
      </c>
      <c r="G302" s="19">
        <v>0.0017807806666137133</v>
      </c>
      <c r="H302" s="4">
        <v>0</v>
      </c>
      <c r="I302" s="4">
        <v>0</v>
      </c>
      <c r="J302" s="4">
        <v>0</v>
      </c>
      <c r="K302" s="4">
        <v>0</v>
      </c>
      <c r="L302" s="4">
        <v>0</v>
      </c>
      <c r="M302" s="4">
        <v>0</v>
      </c>
      <c r="N302" s="27">
        <v>0</v>
      </c>
      <c r="O302" s="4">
        <v>0.0020744455084286515</v>
      </c>
      <c r="P302" s="4">
        <v>0.0005623162408498293</v>
      </c>
      <c r="Q302" s="4">
        <v>0.0023934468088427537</v>
      </c>
      <c r="R302" s="4">
        <v>0</v>
      </c>
      <c r="S302" s="4">
        <v>0</v>
      </c>
      <c r="T302" s="4">
        <v>0</v>
      </c>
      <c r="U302" s="4">
        <v>0</v>
      </c>
      <c r="V302" s="17">
        <v>0.0003384887402609831</v>
      </c>
      <c r="W302" s="17">
        <v>0.007149477964995931</v>
      </c>
      <c r="X302" s="18">
        <v>1.7301736675290154</v>
      </c>
      <c r="Y302" s="18"/>
      <c r="Z302" s="19">
        <v>3.751347028098603E-05</v>
      </c>
      <c r="AA302" s="4">
        <v>0</v>
      </c>
      <c r="AB302" s="4">
        <v>0</v>
      </c>
      <c r="AC302" s="4">
        <v>0</v>
      </c>
      <c r="AD302" s="4">
        <v>0</v>
      </c>
      <c r="AE302" s="4">
        <v>0</v>
      </c>
      <c r="AF302" s="4">
        <v>0</v>
      </c>
      <c r="AG302" s="4">
        <v>0</v>
      </c>
      <c r="AH302" s="19">
        <v>6.609314463763662E-06</v>
      </c>
      <c r="AI302" s="17">
        <v>1.0652151382665635E-05</v>
      </c>
      <c r="AJ302" s="4">
        <v>3.536697050484253E-05</v>
      </c>
      <c r="AK302" s="4">
        <v>0</v>
      </c>
      <c r="AL302" s="4">
        <v>0</v>
      </c>
      <c r="AM302" s="4">
        <v>0</v>
      </c>
      <c r="AN302" s="4">
        <v>0</v>
      </c>
      <c r="AO302" s="4">
        <v>1.5758641722763672E-06</v>
      </c>
      <c r="AP302" s="6">
        <v>9.171777080453422E-05</v>
      </c>
      <c r="AQ302">
        <v>2.9778002499233382</v>
      </c>
      <c r="AR302">
        <v>1</v>
      </c>
      <c r="AS302">
        <v>5.152111579578681</v>
      </c>
      <c r="AT302">
        <v>1.7301736675290154</v>
      </c>
      <c r="AU302">
        <v>4</v>
      </c>
      <c r="AV302">
        <v>0</v>
      </c>
      <c r="AW302">
        <v>0</v>
      </c>
      <c r="AX302" s="53">
        <f>100*(C307+C308+C309+C310+C311+C312+C313+C314)/C315</f>
        <v>78.51239669421487</v>
      </c>
      <c r="AY302" s="53">
        <f>100*(X307+X308+X309+X310+X311+X312+X313+X314)/X315</f>
        <v>80.63026101542724</v>
      </c>
      <c r="AZ302" s="53" t="s">
        <v>96</v>
      </c>
    </row>
    <row r="303" spans="2:49" ht="12.75">
      <c r="B303" s="3" t="s">
        <v>11</v>
      </c>
      <c r="C303">
        <v>0</v>
      </c>
      <c r="G303" s="19">
        <v>0.0026021396657550547</v>
      </c>
      <c r="H303" s="4">
        <v>0</v>
      </c>
      <c r="I303" s="4">
        <v>0</v>
      </c>
      <c r="J303" s="4">
        <v>0</v>
      </c>
      <c r="K303" s="4">
        <v>0</v>
      </c>
      <c r="L303" s="4">
        <v>0</v>
      </c>
      <c r="M303" s="4">
        <v>0</v>
      </c>
      <c r="N303" s="27">
        <v>0</v>
      </c>
      <c r="O303" s="4">
        <v>0.003031253114508649</v>
      </c>
      <c r="P303" s="4">
        <v>2.3243212946339125E-05</v>
      </c>
      <c r="Q303" s="4">
        <v>0.00016259401675085904</v>
      </c>
      <c r="R303" s="4">
        <v>0</v>
      </c>
      <c r="S303" s="4">
        <v>0</v>
      </c>
      <c r="T303" s="4">
        <v>0</v>
      </c>
      <c r="U303" s="4">
        <v>0</v>
      </c>
      <c r="V303" s="17">
        <v>0.00023164560014048459</v>
      </c>
      <c r="W303" s="17">
        <v>0.006050875610101387</v>
      </c>
      <c r="X303" s="18">
        <v>1.4643118976445355</v>
      </c>
      <c r="Y303" s="18"/>
      <c r="Z303" s="19">
        <v>8.00990902292938E-05</v>
      </c>
      <c r="AA303" s="4">
        <v>0</v>
      </c>
      <c r="AB303" s="4">
        <v>0</v>
      </c>
      <c r="AC303" s="4">
        <v>0</v>
      </c>
      <c r="AD303" s="4">
        <v>0</v>
      </c>
      <c r="AE303" s="4">
        <v>0</v>
      </c>
      <c r="AF303" s="4">
        <v>0</v>
      </c>
      <c r="AG303" s="4">
        <v>0</v>
      </c>
      <c r="AH303" s="19">
        <v>1.4112266117248888E-05</v>
      </c>
      <c r="AI303" s="17">
        <v>1.81998746958554E-08</v>
      </c>
      <c r="AJ303" s="4">
        <v>1.6321475587239394E-07</v>
      </c>
      <c r="AK303" s="4">
        <v>0</v>
      </c>
      <c r="AL303" s="4">
        <v>0</v>
      </c>
      <c r="AM303" s="4">
        <v>0</v>
      </c>
      <c r="AN303" s="4">
        <v>0</v>
      </c>
      <c r="AO303" s="4">
        <v>7.380375185827044E-07</v>
      </c>
      <c r="AP303" s="6">
        <v>9.513080849569363E-05</v>
      </c>
      <c r="AQ303">
        <v>1.4643118976445355</v>
      </c>
      <c r="AR303">
        <v>1</v>
      </c>
      <c r="AS303">
        <v>2.1442093335833405</v>
      </c>
      <c r="AT303">
        <v>1.4643118976445355</v>
      </c>
      <c r="AU303">
        <v>0</v>
      </c>
      <c r="AV303">
        <v>0</v>
      </c>
      <c r="AW303">
        <v>0</v>
      </c>
    </row>
    <row r="304" spans="1:50" ht="12.75">
      <c r="A304" s="15"/>
      <c r="B304" s="16" t="s">
        <v>12</v>
      </c>
      <c r="C304">
        <v>3</v>
      </c>
      <c r="G304" s="19">
        <v>0.0004376513621507589</v>
      </c>
      <c r="H304" s="17">
        <v>0</v>
      </c>
      <c r="I304" s="17">
        <v>0</v>
      </c>
      <c r="J304" s="17">
        <v>0</v>
      </c>
      <c r="K304" s="17">
        <v>0</v>
      </c>
      <c r="L304" s="17">
        <v>0</v>
      </c>
      <c r="M304" s="17">
        <v>0</v>
      </c>
      <c r="N304" s="27">
        <v>0</v>
      </c>
      <c r="O304" s="17">
        <v>0.000509823539469199</v>
      </c>
      <c r="P304" s="17">
        <v>0.00013819695675121885</v>
      </c>
      <c r="Q304" s="17">
        <v>2.7346530951069707E-05</v>
      </c>
      <c r="R304" s="17">
        <v>0</v>
      </c>
      <c r="S304" s="17">
        <v>0</v>
      </c>
      <c r="T304" s="17">
        <v>0</v>
      </c>
      <c r="U304" s="17">
        <v>0</v>
      </c>
      <c r="V304" s="17">
        <v>0.0013772931073742446</v>
      </c>
      <c r="W304" s="17">
        <v>0.002490311496696491</v>
      </c>
      <c r="X304" s="18">
        <v>0.6026553822005508</v>
      </c>
      <c r="Y304" s="18"/>
      <c r="Z304" s="19">
        <v>2.2658071688278694E-06</v>
      </c>
      <c r="AA304" s="4">
        <v>0</v>
      </c>
      <c r="AB304" s="4">
        <v>0</v>
      </c>
      <c r="AC304" s="17">
        <v>0</v>
      </c>
      <c r="AD304" s="17">
        <v>0</v>
      </c>
      <c r="AE304" s="17">
        <v>0</v>
      </c>
      <c r="AF304" s="17">
        <v>0</v>
      </c>
      <c r="AG304" s="17">
        <v>0</v>
      </c>
      <c r="AH304" s="19">
        <v>3.9920145965871447E-07</v>
      </c>
      <c r="AI304" s="17">
        <v>6.433881159354339E-07</v>
      </c>
      <c r="AJ304" s="17">
        <v>4.616945871114439E-09</v>
      </c>
      <c r="AK304" s="17">
        <v>0</v>
      </c>
      <c r="AL304" s="17">
        <v>0</v>
      </c>
      <c r="AM304" s="17">
        <v>0</v>
      </c>
      <c r="AN304" s="17">
        <v>0</v>
      </c>
      <c r="AO304" s="17">
        <v>2.6090540539750197E-05</v>
      </c>
      <c r="AP304" s="6">
        <v>2.940355423004333E-05</v>
      </c>
      <c r="AQ304">
        <v>9.536563326633367</v>
      </c>
      <c r="AR304">
        <v>1</v>
      </c>
      <c r="AS304">
        <v>5.747261216491988</v>
      </c>
      <c r="AT304">
        <v>0.6026553822005508</v>
      </c>
      <c r="AU304">
        <v>3</v>
      </c>
      <c r="AV304">
        <v>0</v>
      </c>
      <c r="AW304">
        <v>0</v>
      </c>
      <c r="AX304" s="15"/>
    </row>
    <row r="305" spans="1:50" ht="12.75">
      <c r="A305" s="15"/>
      <c r="B305" s="16" t="s">
        <v>13</v>
      </c>
      <c r="C305">
        <v>3</v>
      </c>
      <c r="G305" s="19">
        <v>0.0005610620669907214</v>
      </c>
      <c r="H305" s="17">
        <v>0</v>
      </c>
      <c r="I305" s="17">
        <v>0</v>
      </c>
      <c r="J305" s="17">
        <v>0</v>
      </c>
      <c r="K305" s="17">
        <v>0</v>
      </c>
      <c r="L305" s="17">
        <v>0</v>
      </c>
      <c r="M305" s="17">
        <v>0</v>
      </c>
      <c r="N305" s="27">
        <v>0</v>
      </c>
      <c r="O305" s="17">
        <v>0.0006535856473733094</v>
      </c>
      <c r="P305" s="17">
        <v>5.011600749491091E-06</v>
      </c>
      <c r="Q305" s="17">
        <v>0.0007540918648646568</v>
      </c>
      <c r="R305" s="17">
        <v>0</v>
      </c>
      <c r="S305" s="17">
        <v>0</v>
      </c>
      <c r="T305" s="17">
        <v>0</v>
      </c>
      <c r="U305" s="17">
        <v>0</v>
      </c>
      <c r="V305" s="17">
        <v>0.0010743449610774664</v>
      </c>
      <c r="W305" s="17">
        <v>0.0030480961410556447</v>
      </c>
      <c r="X305" s="18">
        <v>0.737639266135466</v>
      </c>
      <c r="Y305" s="18"/>
      <c r="Z305" s="19">
        <v>3.7238158165484822E-06</v>
      </c>
      <c r="AA305" s="4">
        <v>0</v>
      </c>
      <c r="AB305" s="4">
        <v>0</v>
      </c>
      <c r="AC305" s="17">
        <v>0</v>
      </c>
      <c r="AD305" s="17">
        <v>0</v>
      </c>
      <c r="AE305" s="17">
        <v>0</v>
      </c>
      <c r="AF305" s="17">
        <v>0</v>
      </c>
      <c r="AG305" s="17">
        <v>0</v>
      </c>
      <c r="AH305" s="19">
        <v>6.56080857152277E-07</v>
      </c>
      <c r="AI305" s="17">
        <v>8.461142449635581E-10</v>
      </c>
      <c r="AJ305" s="17">
        <v>3.5107411594519815E-06</v>
      </c>
      <c r="AK305" s="17">
        <v>0</v>
      </c>
      <c r="AL305" s="17">
        <v>0</v>
      </c>
      <c r="AM305" s="17">
        <v>0</v>
      </c>
      <c r="AN305" s="17">
        <v>0</v>
      </c>
      <c r="AO305" s="17">
        <v>1.5875149767303332E-05</v>
      </c>
      <c r="AP305" s="6">
        <v>2.3766633714701038E-05</v>
      </c>
      <c r="AQ305">
        <v>6.9387250992575416</v>
      </c>
      <c r="AR305">
        <v>1</v>
      </c>
      <c r="AS305">
        <v>5.118276090132071</v>
      </c>
      <c r="AT305">
        <v>0.737639266135466</v>
      </c>
      <c r="AU305">
        <v>3</v>
      </c>
      <c r="AV305">
        <v>0</v>
      </c>
      <c r="AW305">
        <v>0</v>
      </c>
      <c r="AX305" s="15"/>
    </row>
    <row r="306" spans="1:50" ht="13.5" thickBot="1">
      <c r="A306" s="11" t="s">
        <v>4</v>
      </c>
      <c r="B306" s="12" t="s">
        <v>14</v>
      </c>
      <c r="C306">
        <v>2</v>
      </c>
      <c r="G306" s="20">
        <v>9.436448823294011E-05</v>
      </c>
      <c r="H306" s="13">
        <v>0</v>
      </c>
      <c r="I306" s="13">
        <v>0</v>
      </c>
      <c r="J306" s="13">
        <v>0</v>
      </c>
      <c r="K306" s="13">
        <v>0</v>
      </c>
      <c r="L306" s="13">
        <v>0</v>
      </c>
      <c r="M306" s="13">
        <v>0</v>
      </c>
      <c r="N306" s="28">
        <v>0</v>
      </c>
      <c r="O306" s="13">
        <v>0.0001099259400329361</v>
      </c>
      <c r="P306" s="13">
        <v>2.979742833448853E-05</v>
      </c>
      <c r="Q306" s="13">
        <v>0.00012682998387369783</v>
      </c>
      <c r="R306" s="13">
        <v>0</v>
      </c>
      <c r="S306" s="13">
        <v>0</v>
      </c>
      <c r="T306" s="13">
        <v>0</v>
      </c>
      <c r="U306" s="13">
        <v>0</v>
      </c>
      <c r="V306" s="13">
        <v>0.006387722922157248</v>
      </c>
      <c r="W306" s="13">
        <v>0.006748640762631311</v>
      </c>
      <c r="X306" s="14">
        <v>1.6331710645567772</v>
      </c>
      <c r="Y306" s="14"/>
      <c r="Z306" s="20">
        <v>1.0533763302900059E-07</v>
      </c>
      <c r="AA306" s="13">
        <v>0</v>
      </c>
      <c r="AB306" s="13">
        <v>0</v>
      </c>
      <c r="AC306" s="13">
        <v>0</v>
      </c>
      <c r="AD306" s="13">
        <v>0</v>
      </c>
      <c r="AE306" s="13">
        <v>0</v>
      </c>
      <c r="AF306" s="13">
        <v>0</v>
      </c>
      <c r="AG306" s="13">
        <v>0</v>
      </c>
      <c r="AH306" s="20">
        <v>1.8558921271276826E-08</v>
      </c>
      <c r="AI306" s="13">
        <v>2.9911186699390064E-08</v>
      </c>
      <c r="AJ306" s="13">
        <v>9.931027261625738E-08</v>
      </c>
      <c r="AK306" s="13">
        <v>0</v>
      </c>
      <c r="AL306" s="13">
        <v>0</v>
      </c>
      <c r="AM306" s="13">
        <v>0</v>
      </c>
      <c r="AN306" s="13">
        <v>0</v>
      </c>
      <c r="AO306" s="13">
        <v>0.0005612062099144074</v>
      </c>
      <c r="AP306" s="6">
        <v>0.0005614593279280233</v>
      </c>
      <c r="AQ306">
        <v>0.08239398235660453</v>
      </c>
      <c r="AR306">
        <v>1</v>
      </c>
      <c r="AS306">
        <v>0.13456346787840814</v>
      </c>
      <c r="AT306">
        <v>1.6331710645567772</v>
      </c>
      <c r="AU306">
        <v>2</v>
      </c>
      <c r="AV306">
        <v>0</v>
      </c>
      <c r="AW306">
        <v>0</v>
      </c>
      <c r="AX306" s="11"/>
    </row>
    <row r="307" spans="2:49" ht="12.75">
      <c r="B307" s="3" t="s">
        <v>7</v>
      </c>
      <c r="C307">
        <v>99</v>
      </c>
      <c r="G307" s="19">
        <v>0.007426941802799161</v>
      </c>
      <c r="H307" s="4">
        <v>0</v>
      </c>
      <c r="I307" s="4">
        <v>0</v>
      </c>
      <c r="J307" s="4">
        <v>0</v>
      </c>
      <c r="K307" s="4">
        <v>0</v>
      </c>
      <c r="L307" s="4">
        <v>0</v>
      </c>
      <c r="M307" s="4">
        <v>0</v>
      </c>
      <c r="N307" s="27">
        <v>0</v>
      </c>
      <c r="O307" s="4">
        <v>0.37822172447515096</v>
      </c>
      <c r="P307" s="4">
        <v>0.0029001497898114422</v>
      </c>
      <c r="Q307" s="4">
        <v>0.020287513804276878</v>
      </c>
      <c r="R307" s="4">
        <v>0</v>
      </c>
      <c r="S307" s="4">
        <v>0</v>
      </c>
      <c r="T307" s="4">
        <v>0</v>
      </c>
      <c r="U307" s="4">
        <v>0</v>
      </c>
      <c r="V307" s="17">
        <v>8.116048577302818E-05</v>
      </c>
      <c r="W307" s="17">
        <v>0.4089174903578115</v>
      </c>
      <c r="X307" s="18">
        <v>98.95803266659038</v>
      </c>
      <c r="Y307" s="18"/>
      <c r="Z307" s="19">
        <v>0.0006525088691536686</v>
      </c>
      <c r="AA307" s="4">
        <v>0</v>
      </c>
      <c r="AB307" s="19">
        <v>0</v>
      </c>
      <c r="AC307" s="4">
        <v>0</v>
      </c>
      <c r="AD307" s="4">
        <v>0</v>
      </c>
      <c r="AE307" s="4">
        <v>0</v>
      </c>
      <c r="AF307" s="4">
        <v>0</v>
      </c>
      <c r="AG307" s="4">
        <v>0</v>
      </c>
      <c r="AH307" s="19">
        <v>0.21970770821442487</v>
      </c>
      <c r="AI307" s="17">
        <v>0.00028334590107599307</v>
      </c>
      <c r="AJ307" s="4">
        <v>0.002541019256692642</v>
      </c>
      <c r="AK307" s="4">
        <v>0</v>
      </c>
      <c r="AL307" s="4">
        <v>0</v>
      </c>
      <c r="AM307" s="4">
        <v>0</v>
      </c>
      <c r="AN307" s="4">
        <v>0</v>
      </c>
      <c r="AO307" s="4">
        <v>9.059820730136012E-08</v>
      </c>
      <c r="AP307" s="6">
        <v>0.22318467283955445</v>
      </c>
      <c r="AQ307">
        <v>1.7798020292581026E-05</v>
      </c>
      <c r="AR307">
        <v>0</v>
      </c>
      <c r="AS307">
        <v>0.0017612570735138717</v>
      </c>
      <c r="AT307">
        <v>0</v>
      </c>
      <c r="AU307">
        <v>0</v>
      </c>
      <c r="AV307">
        <v>1.7798020292581026E-05</v>
      </c>
      <c r="AW307">
        <v>1</v>
      </c>
    </row>
    <row r="308" spans="2:49" ht="12.75">
      <c r="B308" s="3" t="s">
        <v>15</v>
      </c>
      <c r="C308">
        <v>21</v>
      </c>
      <c r="G308" s="19">
        <v>0.0012491301828975057</v>
      </c>
      <c r="H308" s="4">
        <v>0</v>
      </c>
      <c r="I308" s="4">
        <v>0</v>
      </c>
      <c r="J308" s="4">
        <v>0</v>
      </c>
      <c r="K308" s="4">
        <v>0</v>
      </c>
      <c r="L308" s="4">
        <v>0</v>
      </c>
      <c r="M308" s="4">
        <v>0</v>
      </c>
      <c r="N308" s="27">
        <v>0</v>
      </c>
      <c r="O308" s="4">
        <v>0.06361274726717166</v>
      </c>
      <c r="P308" s="4">
        <v>0.017243393845761512</v>
      </c>
      <c r="Q308" s="4">
        <v>0.0034121373913716313</v>
      </c>
      <c r="R308" s="4">
        <v>0</v>
      </c>
      <c r="S308" s="4">
        <v>0</v>
      </c>
      <c r="T308" s="4">
        <v>0</v>
      </c>
      <c r="U308" s="4">
        <v>0</v>
      </c>
      <c r="V308" s="17">
        <v>0.0004825551513974174</v>
      </c>
      <c r="W308" s="17">
        <v>0.08599996383859972</v>
      </c>
      <c r="X308" s="18">
        <v>20.81199124894113</v>
      </c>
      <c r="Y308" s="18"/>
      <c r="Z308" s="19">
        <v>1.845787847552165E-05</v>
      </c>
      <c r="AA308" s="4">
        <v>0</v>
      </c>
      <c r="AB308" s="19">
        <v>0</v>
      </c>
      <c r="AC308" s="4">
        <v>0</v>
      </c>
      <c r="AD308" s="4">
        <v>0</v>
      </c>
      <c r="AE308" s="4">
        <v>0</v>
      </c>
      <c r="AF308" s="4">
        <v>0</v>
      </c>
      <c r="AG308" s="4">
        <v>0</v>
      </c>
      <c r="AH308" s="19">
        <v>0.006214993190233823</v>
      </c>
      <c r="AI308" s="17">
        <v>0.010016628603098349</v>
      </c>
      <c r="AJ308" s="4">
        <v>7.18792140018369E-05</v>
      </c>
      <c r="AK308" s="4">
        <v>0</v>
      </c>
      <c r="AL308" s="4">
        <v>0</v>
      </c>
      <c r="AM308" s="4">
        <v>0</v>
      </c>
      <c r="AN308" s="4">
        <v>0</v>
      </c>
      <c r="AO308" s="4">
        <v>3.202758858335663E-06</v>
      </c>
      <c r="AP308" s="6">
        <v>0.016325161644667865</v>
      </c>
      <c r="AQ308">
        <v>0.0016984098278685664</v>
      </c>
      <c r="AR308">
        <v>0</v>
      </c>
      <c r="AS308">
        <v>0.035347290474716214</v>
      </c>
      <c r="AT308">
        <v>0</v>
      </c>
      <c r="AU308">
        <v>0</v>
      </c>
      <c r="AV308">
        <v>0.0016984098278685664</v>
      </c>
      <c r="AW308">
        <v>1</v>
      </c>
    </row>
    <row r="309" spans="2:49" ht="12.75">
      <c r="B309" s="3" t="s">
        <v>16</v>
      </c>
      <c r="C309">
        <v>44</v>
      </c>
      <c r="G309" s="19">
        <v>0.0016013649744235287</v>
      </c>
      <c r="H309" s="4">
        <v>0</v>
      </c>
      <c r="I309" s="4">
        <v>0</v>
      </c>
      <c r="J309" s="4">
        <v>0</v>
      </c>
      <c r="K309" s="4">
        <v>0</v>
      </c>
      <c r="L309" s="4">
        <v>0</v>
      </c>
      <c r="M309" s="4">
        <v>0</v>
      </c>
      <c r="N309" s="27">
        <v>0</v>
      </c>
      <c r="O309" s="4">
        <v>0.0815505275552718</v>
      </c>
      <c r="P309" s="4">
        <v>0.000625317717211065</v>
      </c>
      <c r="Q309" s="4">
        <v>0.09409109525583935</v>
      </c>
      <c r="R309" s="4">
        <v>0</v>
      </c>
      <c r="S309" s="4">
        <v>0</v>
      </c>
      <c r="T309" s="4">
        <v>0</v>
      </c>
      <c r="U309" s="4">
        <v>0</v>
      </c>
      <c r="V309" s="17">
        <v>0.0003764127567109932</v>
      </c>
      <c r="W309" s="17">
        <v>0.17824471825945673</v>
      </c>
      <c r="X309" s="18">
        <v>43.13522181878853</v>
      </c>
      <c r="Y309" s="18"/>
      <c r="Z309" s="19">
        <v>3.0335211554050364E-05</v>
      </c>
      <c r="AA309" s="4">
        <v>0</v>
      </c>
      <c r="AB309" s="19">
        <v>0</v>
      </c>
      <c r="AC309" s="4">
        <v>0</v>
      </c>
      <c r="AD309" s="4">
        <v>0</v>
      </c>
      <c r="AE309" s="4">
        <v>0</v>
      </c>
      <c r="AF309" s="4">
        <v>0</v>
      </c>
      <c r="AG309" s="4">
        <v>0</v>
      </c>
      <c r="AH309" s="19">
        <v>0.010214236348058802</v>
      </c>
      <c r="AI309" s="17">
        <v>1.3172783173448379E-05</v>
      </c>
      <c r="AJ309" s="4">
        <v>0.054657195936411065</v>
      </c>
      <c r="AK309" s="4">
        <v>0</v>
      </c>
      <c r="AL309" s="4">
        <v>0</v>
      </c>
      <c r="AM309" s="4">
        <v>0</v>
      </c>
      <c r="AN309" s="4">
        <v>0</v>
      </c>
      <c r="AO309" s="4">
        <v>1.9487628654980297E-06</v>
      </c>
      <c r="AP309" s="6">
        <v>0.06491688904206286</v>
      </c>
      <c r="AQ309">
        <v>0.01733713821714205</v>
      </c>
      <c r="AR309">
        <v>0</v>
      </c>
      <c r="AS309">
        <v>0.7478413026994182</v>
      </c>
      <c r="AT309">
        <v>0</v>
      </c>
      <c r="AU309">
        <v>0</v>
      </c>
      <c r="AV309">
        <v>0.01733713821714205</v>
      </c>
      <c r="AW309">
        <v>1</v>
      </c>
    </row>
    <row r="310" spans="2:49" ht="12.75">
      <c r="B310" s="3" t="s">
        <v>17</v>
      </c>
      <c r="C310">
        <v>8</v>
      </c>
      <c r="G310" s="19">
        <v>0.00026933203147403394</v>
      </c>
      <c r="H310" s="4">
        <v>0</v>
      </c>
      <c r="I310" s="4">
        <v>0</v>
      </c>
      <c r="J310" s="4">
        <v>0</v>
      </c>
      <c r="K310" s="4">
        <v>0</v>
      </c>
      <c r="L310" s="4">
        <v>0</v>
      </c>
      <c r="M310" s="4">
        <v>0</v>
      </c>
      <c r="N310" s="27">
        <v>0</v>
      </c>
      <c r="O310" s="4">
        <v>0.013715904622022448</v>
      </c>
      <c r="P310" s="4">
        <v>0.003717945781450123</v>
      </c>
      <c r="Q310" s="4">
        <v>0.015825090615582346</v>
      </c>
      <c r="R310" s="4">
        <v>0</v>
      </c>
      <c r="S310" s="4">
        <v>0</v>
      </c>
      <c r="T310" s="4">
        <v>0</v>
      </c>
      <c r="U310" s="4">
        <v>0</v>
      </c>
      <c r="V310" s="17">
        <v>0.002238033854437037</v>
      </c>
      <c r="W310" s="17">
        <v>0.03576630690496599</v>
      </c>
      <c r="X310" s="18">
        <v>8.65544627100177</v>
      </c>
      <c r="Y310" s="18"/>
      <c r="Z310" s="19">
        <v>8.581088700298377E-07</v>
      </c>
      <c r="AA310" s="4">
        <v>0</v>
      </c>
      <c r="AB310" s="19">
        <v>0</v>
      </c>
      <c r="AC310" s="4">
        <v>0</v>
      </c>
      <c r="AD310" s="4">
        <v>0</v>
      </c>
      <c r="AE310" s="4">
        <v>0</v>
      </c>
      <c r="AF310" s="4">
        <v>0</v>
      </c>
      <c r="AG310" s="4">
        <v>0</v>
      </c>
      <c r="AH310" s="19">
        <v>0.0002889357404095684</v>
      </c>
      <c r="AI310" s="17">
        <v>0.0004656742032142107</v>
      </c>
      <c r="AJ310" s="4">
        <v>0.0015461182645924482</v>
      </c>
      <c r="AK310" s="4">
        <v>0</v>
      </c>
      <c r="AL310" s="4">
        <v>0</v>
      </c>
      <c r="AM310" s="4">
        <v>0</v>
      </c>
      <c r="AN310" s="4">
        <v>0</v>
      </c>
      <c r="AO310" s="4">
        <v>6.889118136199266E-05</v>
      </c>
      <c r="AP310" s="6">
        <v>0.00237047749844825</v>
      </c>
      <c r="AQ310">
        <v>0.04963462318626387</v>
      </c>
      <c r="AR310">
        <v>0</v>
      </c>
      <c r="AS310">
        <v>0.42960981417012556</v>
      </c>
      <c r="AT310">
        <v>0</v>
      </c>
      <c r="AU310">
        <v>0</v>
      </c>
      <c r="AV310">
        <v>0.04963462318626387</v>
      </c>
      <c r="AW310">
        <v>1</v>
      </c>
    </row>
    <row r="311" spans="2:49" ht="12.75">
      <c r="B311" s="3" t="s">
        <v>18</v>
      </c>
      <c r="C311">
        <v>5</v>
      </c>
      <c r="G311" s="19">
        <v>0.0003935574860488973</v>
      </c>
      <c r="H311" s="4">
        <v>0</v>
      </c>
      <c r="I311" s="4">
        <v>0</v>
      </c>
      <c r="J311" s="4">
        <v>0</v>
      </c>
      <c r="K311" s="4">
        <v>0</v>
      </c>
      <c r="L311" s="4">
        <v>0</v>
      </c>
      <c r="M311" s="4">
        <v>0</v>
      </c>
      <c r="N311" s="27">
        <v>0</v>
      </c>
      <c r="O311" s="4">
        <v>0.02004216473022824</v>
      </c>
      <c r="P311" s="4">
        <v>0.0001536804368136092</v>
      </c>
      <c r="Q311" s="4">
        <v>0.0010750458456513397</v>
      </c>
      <c r="R311" s="4">
        <v>0</v>
      </c>
      <c r="S311" s="4">
        <v>0</v>
      </c>
      <c r="T311" s="4">
        <v>0</v>
      </c>
      <c r="U311" s="4">
        <v>0</v>
      </c>
      <c r="V311" s="17">
        <v>0.001531603961024129</v>
      </c>
      <c r="W311" s="17">
        <v>0.023196052459766216</v>
      </c>
      <c r="X311" s="18">
        <v>5.613444695263424</v>
      </c>
      <c r="Y311" s="18"/>
      <c r="Z311" s="19">
        <v>1.83224157328669E-06</v>
      </c>
      <c r="AA311" s="4">
        <v>0</v>
      </c>
      <c r="AB311" s="19">
        <v>0</v>
      </c>
      <c r="AC311" s="4">
        <v>0</v>
      </c>
      <c r="AD311" s="4">
        <v>0</v>
      </c>
      <c r="AE311" s="4">
        <v>0</v>
      </c>
      <c r="AF311" s="4">
        <v>0</v>
      </c>
      <c r="AG311" s="4">
        <v>0</v>
      </c>
      <c r="AH311" s="19">
        <v>0.0006169381229777686</v>
      </c>
      <c r="AI311" s="17">
        <v>7.95633843636765E-07</v>
      </c>
      <c r="AJ311" s="4">
        <v>7.1351690999587775E-06</v>
      </c>
      <c r="AK311" s="4">
        <v>0</v>
      </c>
      <c r="AL311" s="4">
        <v>0</v>
      </c>
      <c r="AM311" s="4">
        <v>0</v>
      </c>
      <c r="AN311" s="4">
        <v>0</v>
      </c>
      <c r="AO311" s="4">
        <v>3.2264377501006666E-05</v>
      </c>
      <c r="AP311" s="6">
        <v>0.0006589655449956575</v>
      </c>
      <c r="AQ311">
        <v>0.06703805142399746</v>
      </c>
      <c r="AR311">
        <v>0</v>
      </c>
      <c r="AS311">
        <v>0.3763143941468352</v>
      </c>
      <c r="AT311">
        <v>0</v>
      </c>
      <c r="AU311">
        <v>0</v>
      </c>
      <c r="AV311">
        <v>0.06703805142399746</v>
      </c>
      <c r="AW311">
        <v>1</v>
      </c>
    </row>
    <row r="312" spans="2:49" ht="12.75">
      <c r="B312" s="16" t="s">
        <v>19</v>
      </c>
      <c r="C312">
        <v>1</v>
      </c>
      <c r="G312" s="19">
        <v>6.619205422394174E-05</v>
      </c>
      <c r="H312" s="4">
        <v>0</v>
      </c>
      <c r="I312" s="4">
        <v>0</v>
      </c>
      <c r="J312" s="4">
        <v>0</v>
      </c>
      <c r="K312" s="4">
        <v>0</v>
      </c>
      <c r="L312" s="4">
        <v>0</v>
      </c>
      <c r="M312" s="4">
        <v>0</v>
      </c>
      <c r="N312" s="27">
        <v>0</v>
      </c>
      <c r="O312" s="4">
        <v>0.003370872367102207</v>
      </c>
      <c r="P312" s="4">
        <v>0.0009137363551618558</v>
      </c>
      <c r="Q312" s="4">
        <v>0.00018081092453094795</v>
      </c>
      <c r="R312" s="4">
        <v>0</v>
      </c>
      <c r="S312" s="4">
        <v>0</v>
      </c>
      <c r="T312" s="4">
        <v>0</v>
      </c>
      <c r="U312" s="4">
        <v>0</v>
      </c>
      <c r="V312" s="17">
        <v>0.009106443539036826</v>
      </c>
      <c r="W312" s="17">
        <v>0.01363805524005578</v>
      </c>
      <c r="X312" s="18">
        <v>3.300409368093499</v>
      </c>
      <c r="Y312" s="18"/>
      <c r="Z312" s="19">
        <v>5.182962852503347E-08</v>
      </c>
      <c r="AA312" s="4">
        <v>0</v>
      </c>
      <c r="AB312" s="19">
        <v>0</v>
      </c>
      <c r="AC312" s="4">
        <v>0</v>
      </c>
      <c r="AD312" s="4">
        <v>0</v>
      </c>
      <c r="AE312" s="4">
        <v>0</v>
      </c>
      <c r="AF312" s="4">
        <v>0</v>
      </c>
      <c r="AG312" s="4">
        <v>0</v>
      </c>
      <c r="AH312" s="19">
        <v>1.7451669148359592E-05</v>
      </c>
      <c r="AI312" s="17">
        <v>2.8126641978941735E-05</v>
      </c>
      <c r="AJ312" s="4">
        <v>2.0183646594743886E-07</v>
      </c>
      <c r="AK312" s="4">
        <v>0</v>
      </c>
      <c r="AL312" s="4">
        <v>0</v>
      </c>
      <c r="AM312" s="4">
        <v>0</v>
      </c>
      <c r="AN312" s="4">
        <v>0</v>
      </c>
      <c r="AO312" s="4">
        <v>0.0011405857127648005</v>
      </c>
      <c r="AP312" s="6">
        <v>0.0011864176899865743</v>
      </c>
      <c r="AQ312">
        <v>1.6034020845932875</v>
      </c>
      <c r="AR312">
        <v>1</v>
      </c>
      <c r="AS312">
        <v>5.291883260812331</v>
      </c>
      <c r="AT312">
        <v>3.300409368093499</v>
      </c>
      <c r="AU312">
        <v>1</v>
      </c>
      <c r="AV312">
        <v>0</v>
      </c>
      <c r="AW312">
        <v>0</v>
      </c>
    </row>
    <row r="313" spans="2:49" ht="12.75">
      <c r="B313" s="16" t="s">
        <v>20</v>
      </c>
      <c r="C313">
        <v>2</v>
      </c>
      <c r="G313" s="19">
        <v>8.485715794128772E-05</v>
      </c>
      <c r="H313" s="4">
        <v>0</v>
      </c>
      <c r="I313" s="4">
        <v>0</v>
      </c>
      <c r="J313" s="4">
        <v>0</v>
      </c>
      <c r="K313" s="4">
        <v>0</v>
      </c>
      <c r="L313" s="4">
        <v>0</v>
      </c>
      <c r="M313" s="4">
        <v>0</v>
      </c>
      <c r="N313" s="27">
        <v>0</v>
      </c>
      <c r="O313" s="4">
        <v>0.00432140461885911</v>
      </c>
      <c r="P313" s="4">
        <v>3.313590914024252E-05</v>
      </c>
      <c r="Q313" s="4">
        <v>0.004985935785105927</v>
      </c>
      <c r="R313" s="4">
        <v>0</v>
      </c>
      <c r="S313" s="4">
        <v>0</v>
      </c>
      <c r="T313" s="4">
        <v>0</v>
      </c>
      <c r="U313" s="4">
        <v>0</v>
      </c>
      <c r="V313" s="17">
        <v>0.007103398453908227</v>
      </c>
      <c r="W313" s="17">
        <v>0.016528731924954795</v>
      </c>
      <c r="X313" s="18">
        <v>3.99995312583906</v>
      </c>
      <c r="Y313" s="18"/>
      <c r="Z313" s="19">
        <v>8.518111917140567E-08</v>
      </c>
      <c r="AA313" s="4">
        <v>0</v>
      </c>
      <c r="AB313" s="19">
        <v>0</v>
      </c>
      <c r="AC313" s="4">
        <v>0</v>
      </c>
      <c r="AD313" s="4">
        <v>0</v>
      </c>
      <c r="AE313" s="4">
        <v>0</v>
      </c>
      <c r="AF313" s="4">
        <v>0</v>
      </c>
      <c r="AG313" s="4">
        <v>0</v>
      </c>
      <c r="AH313" s="19">
        <v>2.868152351793076E-05</v>
      </c>
      <c r="AI313" s="17">
        <v>3.6989107899159334E-08</v>
      </c>
      <c r="AJ313" s="4">
        <v>0.00015347712714443437</v>
      </c>
      <c r="AK313" s="4">
        <v>0</v>
      </c>
      <c r="AL313" s="4">
        <v>0</v>
      </c>
      <c r="AM313" s="4">
        <v>0</v>
      </c>
      <c r="AN313" s="4">
        <v>0</v>
      </c>
      <c r="AO313" s="4">
        <v>0.0006940051312850647</v>
      </c>
      <c r="AP313" s="6">
        <v>0.0008762859521745004</v>
      </c>
      <c r="AQ313">
        <v>0.9999648445166209</v>
      </c>
      <c r="AR313">
        <v>1</v>
      </c>
      <c r="AS313">
        <v>3.9998125055534275</v>
      </c>
      <c r="AT313">
        <v>3.99995312583906</v>
      </c>
      <c r="AU313">
        <v>2</v>
      </c>
      <c r="AV313">
        <v>0</v>
      </c>
      <c r="AW313">
        <v>0</v>
      </c>
    </row>
    <row r="314" spans="2:49" ht="13.5" thickBot="1">
      <c r="B314" s="12" t="s">
        <v>21</v>
      </c>
      <c r="C314">
        <v>10</v>
      </c>
      <c r="G314" s="19">
        <v>1.4272043599347116E-05</v>
      </c>
      <c r="H314" s="4">
        <v>0</v>
      </c>
      <c r="I314" s="4">
        <v>0</v>
      </c>
      <c r="J314" s="4">
        <v>0</v>
      </c>
      <c r="K314" s="4">
        <v>0</v>
      </c>
      <c r="L314" s="4">
        <v>0</v>
      </c>
      <c r="M314" s="4">
        <v>0</v>
      </c>
      <c r="N314" s="27">
        <v>0</v>
      </c>
      <c r="O314" s="4">
        <v>0.0007268128773939145</v>
      </c>
      <c r="P314" s="4">
        <v>0.0001970158692319542</v>
      </c>
      <c r="Q314" s="4">
        <v>0.0008385797336956734</v>
      </c>
      <c r="R314" s="4">
        <v>0</v>
      </c>
      <c r="S314" s="4">
        <v>0</v>
      </c>
      <c r="T314" s="4">
        <v>0</v>
      </c>
      <c r="U314" s="4">
        <v>0</v>
      </c>
      <c r="V314" s="17">
        <v>0.04223461064474074</v>
      </c>
      <c r="W314" s="17">
        <v>0.04401129116866163</v>
      </c>
      <c r="X314" s="18">
        <v>10.650732462816114</v>
      </c>
      <c r="Y314" s="18"/>
      <c r="Z314" s="19">
        <v>2.409565326083651E-09</v>
      </c>
      <c r="AA314" s="4">
        <v>0</v>
      </c>
      <c r="AB314" s="19">
        <v>0</v>
      </c>
      <c r="AC314" s="4">
        <v>0</v>
      </c>
      <c r="AD314" s="4">
        <v>0</v>
      </c>
      <c r="AE314" s="4">
        <v>0</v>
      </c>
      <c r="AF314" s="4">
        <v>0</v>
      </c>
      <c r="AG314" s="4">
        <v>0</v>
      </c>
      <c r="AH314" s="19">
        <v>8.113300839472667E-07</v>
      </c>
      <c r="AI314" s="17">
        <v>1.3076107851881053E-06</v>
      </c>
      <c r="AJ314" s="4">
        <v>4.341492193475462E-06</v>
      </c>
      <c r="AK314" s="4">
        <v>0</v>
      </c>
      <c r="AL314" s="4">
        <v>0</v>
      </c>
      <c r="AM314" s="4">
        <v>0</v>
      </c>
      <c r="AN314" s="4">
        <v>0</v>
      </c>
      <c r="AO314" s="4">
        <v>0.024533941102831035</v>
      </c>
      <c r="AP314" s="6">
        <v>0.024540403945458974</v>
      </c>
      <c r="AQ314">
        <v>0.03975808608854699</v>
      </c>
      <c r="AR314">
        <v>0</v>
      </c>
      <c r="AS314">
        <v>0.42345273816272516</v>
      </c>
      <c r="AT314">
        <v>0</v>
      </c>
      <c r="AU314">
        <v>0</v>
      </c>
      <c r="AV314">
        <v>0.03975808608854699</v>
      </c>
      <c r="AW314">
        <v>1</v>
      </c>
    </row>
    <row r="315" spans="3:50" ht="12.75">
      <c r="C315" s="2">
        <v>242</v>
      </c>
      <c r="D315" s="2">
        <v>0</v>
      </c>
      <c r="E315" s="2">
        <v>0</v>
      </c>
      <c r="F315" s="2">
        <v>0</v>
      </c>
      <c r="G315" s="33">
        <v>0.08453442880203266</v>
      </c>
      <c r="H315" s="2">
        <v>0</v>
      </c>
      <c r="I315" s="2">
        <v>0</v>
      </c>
      <c r="J315" s="2">
        <v>0</v>
      </c>
      <c r="K315" s="2">
        <v>0</v>
      </c>
      <c r="L315" s="2">
        <v>0</v>
      </c>
      <c r="M315" s="2">
        <v>0</v>
      </c>
      <c r="N315" s="29">
        <v>0</v>
      </c>
      <c r="O315" s="2">
        <v>0.6510999273878229</v>
      </c>
      <c r="P315" s="2">
        <v>0.029684102615931497</v>
      </c>
      <c r="Q315" s="2">
        <v>0.16197563842724919</v>
      </c>
      <c r="R315" s="2">
        <v>0</v>
      </c>
      <c r="S315" s="2">
        <v>0</v>
      </c>
      <c r="T315" s="2">
        <v>0</v>
      </c>
      <c r="U315" s="2">
        <v>0</v>
      </c>
      <c r="V315" s="32">
        <v>0.0727059027669637</v>
      </c>
      <c r="W315" s="32">
        <v>1</v>
      </c>
      <c r="X315" s="32">
        <v>242</v>
      </c>
      <c r="Y315" s="32"/>
      <c r="Z315" s="33">
        <v>0.031486268644652086</v>
      </c>
      <c r="AA315" s="2">
        <v>0</v>
      </c>
      <c r="AB315" s="2">
        <v>0</v>
      </c>
      <c r="AC315" s="2">
        <v>0</v>
      </c>
      <c r="AD315" s="2">
        <v>0</v>
      </c>
      <c r="AE315" s="2">
        <v>0</v>
      </c>
      <c r="AF315" s="2">
        <v>0</v>
      </c>
      <c r="AG315" s="2">
        <v>0</v>
      </c>
      <c r="AH315" s="2">
        <v>0.2425131099691479</v>
      </c>
      <c r="AI315" s="2">
        <v>0.011056342873380427</v>
      </c>
      <c r="AJ315" s="2">
        <v>0.06033054860230827</v>
      </c>
      <c r="AK315" s="2">
        <v>0</v>
      </c>
      <c r="AL315" s="2">
        <v>0</v>
      </c>
      <c r="AM315" s="2">
        <v>0</v>
      </c>
      <c r="AN315" s="2">
        <v>0</v>
      </c>
      <c r="AO315" s="2">
        <v>0.02708053533943707</v>
      </c>
      <c r="AP315" s="2">
        <v>0.37246680542892574</v>
      </c>
      <c r="AQ315" s="36">
        <v>23.904287768550667</v>
      </c>
      <c r="AR315" s="36">
        <v>7</v>
      </c>
      <c r="AT315">
        <v>13.468313771998904</v>
      </c>
      <c r="AU315">
        <v>15</v>
      </c>
      <c r="AV315" s="36">
        <v>0.30112628362537813</v>
      </c>
      <c r="AW315" s="36">
        <v>9</v>
      </c>
      <c r="AX315" t="s">
        <v>64</v>
      </c>
    </row>
    <row r="316" spans="13:48" ht="12.75">
      <c r="M316" s="15"/>
      <c r="N316" s="15"/>
      <c r="AQ316" t="s">
        <v>38</v>
      </c>
      <c r="AU316" s="36">
        <v>0.1741912715106008</v>
      </c>
      <c r="AV316" s="41">
        <v>0.47531755513597895</v>
      </c>
    </row>
    <row r="317" spans="5:47" ht="12.75">
      <c r="E317" t="s">
        <v>106</v>
      </c>
      <c r="F317">
        <v>0</v>
      </c>
      <c r="M317" s="15"/>
      <c r="N317" s="15"/>
      <c r="AP317" t="s">
        <v>106</v>
      </c>
      <c r="AU317" t="s">
        <v>61</v>
      </c>
    </row>
    <row r="320" ht="12.75">
      <c r="A320" t="s">
        <v>68</v>
      </c>
    </row>
    <row r="322" ht="12.75">
      <c r="D322" t="s">
        <v>50</v>
      </c>
    </row>
    <row r="323" ht="12.75">
      <c r="D323" s="9" t="s">
        <v>36</v>
      </c>
    </row>
    <row r="324" spans="1:2" ht="12.75">
      <c r="A324" t="s">
        <v>35</v>
      </c>
      <c r="B324" s="1">
        <v>0.1666091443573717</v>
      </c>
    </row>
    <row r="326" ht="12.75">
      <c r="E326" t="s">
        <v>49</v>
      </c>
    </row>
    <row r="327" spans="2:3" ht="12.75">
      <c r="B327" t="s">
        <v>98</v>
      </c>
      <c r="C327" s="1">
        <v>2.6710699625002507E-05</v>
      </c>
    </row>
    <row r="328" spans="2:26" ht="12.75">
      <c r="B328" t="s">
        <v>99</v>
      </c>
      <c r="C328" s="1">
        <v>0.4044247119892918</v>
      </c>
      <c r="Z328" s="21" t="s">
        <v>34</v>
      </c>
    </row>
    <row r="329" spans="2:3" ht="12.75">
      <c r="B329" t="s">
        <v>100</v>
      </c>
      <c r="C329" s="1">
        <v>0.4188875922746079</v>
      </c>
    </row>
    <row r="330" spans="2:42" ht="12.75">
      <c r="B330" t="s">
        <v>5</v>
      </c>
      <c r="C330" s="1">
        <v>0.09910437249797974</v>
      </c>
      <c r="G330" s="21" t="s">
        <v>107</v>
      </c>
      <c r="Z330" s="21" t="s">
        <v>101</v>
      </c>
      <c r="AP330" t="s">
        <v>108</v>
      </c>
    </row>
    <row r="331" spans="23:43" ht="12.75">
      <c r="W331" s="30" t="s">
        <v>22</v>
      </c>
      <c r="X331" s="15" t="s">
        <v>2</v>
      </c>
      <c r="AP331" t="s">
        <v>22</v>
      </c>
      <c r="AQ331" t="s">
        <v>37</v>
      </c>
    </row>
    <row r="332" spans="5:52" ht="12.75">
      <c r="E332" s="2"/>
      <c r="F332" s="2"/>
      <c r="G332" s="37">
        <v>0.14612683261176274</v>
      </c>
      <c r="H332" s="5">
        <v>0</v>
      </c>
      <c r="I332" s="5">
        <v>0</v>
      </c>
      <c r="J332" s="5">
        <v>0</v>
      </c>
      <c r="K332" s="5">
        <v>0</v>
      </c>
      <c r="L332" s="5">
        <v>0</v>
      </c>
      <c r="M332" s="5">
        <v>0</v>
      </c>
      <c r="N332" s="25">
        <v>0</v>
      </c>
      <c r="O332" s="5">
        <v>0</v>
      </c>
      <c r="P332" s="38">
        <v>0.3936601406357261</v>
      </c>
      <c r="Q332" s="38">
        <v>0.38669425917291533</v>
      </c>
      <c r="R332" s="38">
        <v>0</v>
      </c>
      <c r="S332" s="5">
        <v>0</v>
      </c>
      <c r="T332" s="5">
        <v>0</v>
      </c>
      <c r="U332" s="5">
        <v>0</v>
      </c>
      <c r="V332" s="39">
        <v>0.07351976757959572</v>
      </c>
      <c r="W332" s="17">
        <v>1.000001</v>
      </c>
      <c r="X332" s="15" t="s">
        <v>97</v>
      </c>
      <c r="Z332" s="34">
        <v>0.14612683261176274</v>
      </c>
      <c r="AA332" s="8">
        <v>0</v>
      </c>
      <c r="AB332" s="8">
        <v>0</v>
      </c>
      <c r="AC332" s="8">
        <v>0</v>
      </c>
      <c r="AD332" s="8">
        <v>0</v>
      </c>
      <c r="AE332" s="8">
        <v>0</v>
      </c>
      <c r="AF332" s="8">
        <v>0</v>
      </c>
      <c r="AG332" s="8">
        <v>0</v>
      </c>
      <c r="AH332" s="34">
        <v>0</v>
      </c>
      <c r="AI332" s="35">
        <v>0.3936601406357261</v>
      </c>
      <c r="AJ332" s="8">
        <v>0.38669425917291533</v>
      </c>
      <c r="AK332" s="8">
        <v>0</v>
      </c>
      <c r="AL332" s="8">
        <v>0</v>
      </c>
      <c r="AM332" s="8">
        <v>0</v>
      </c>
      <c r="AN332" s="8">
        <v>0</v>
      </c>
      <c r="AO332" s="8">
        <v>0.07351976757959572</v>
      </c>
      <c r="AP332" s="6">
        <v>1.000001</v>
      </c>
      <c r="AX332" s="53" t="s">
        <v>90</v>
      </c>
      <c r="AY332" s="53" t="s">
        <v>91</v>
      </c>
      <c r="AZ332" s="53"/>
    </row>
    <row r="333" spans="2:52" ht="12.75">
      <c r="B333" t="s">
        <v>1</v>
      </c>
      <c r="C333" t="s">
        <v>102</v>
      </c>
      <c r="D333" t="s">
        <v>103</v>
      </c>
      <c r="E333" t="s">
        <v>104</v>
      </c>
      <c r="F333" t="s">
        <v>105</v>
      </c>
      <c r="G333" s="23" t="s">
        <v>6</v>
      </c>
      <c r="H333" s="7" t="s">
        <v>8</v>
      </c>
      <c r="I333" s="7" t="s">
        <v>9</v>
      </c>
      <c r="J333" s="7" t="s">
        <v>10</v>
      </c>
      <c r="K333" s="7" t="s">
        <v>11</v>
      </c>
      <c r="L333" s="7" t="s">
        <v>12</v>
      </c>
      <c r="M333" s="7" t="s">
        <v>13</v>
      </c>
      <c r="N333" s="26" t="s">
        <v>14</v>
      </c>
      <c r="O333" s="7" t="s">
        <v>7</v>
      </c>
      <c r="P333" s="7" t="s">
        <v>15</v>
      </c>
      <c r="Q333" s="7" t="s">
        <v>16</v>
      </c>
      <c r="R333" s="7" t="s">
        <v>17</v>
      </c>
      <c r="S333" s="7" t="s">
        <v>18</v>
      </c>
      <c r="T333" s="7" t="s">
        <v>19</v>
      </c>
      <c r="U333" s="7" t="s">
        <v>20</v>
      </c>
      <c r="V333" s="31" t="s">
        <v>21</v>
      </c>
      <c r="W333" s="31"/>
      <c r="Z333" s="23" t="s">
        <v>6</v>
      </c>
      <c r="AA333" s="7" t="s">
        <v>8</v>
      </c>
      <c r="AB333" s="7" t="s">
        <v>9</v>
      </c>
      <c r="AC333" s="7" t="s">
        <v>10</v>
      </c>
      <c r="AD333" s="7" t="s">
        <v>11</v>
      </c>
      <c r="AE333" s="7" t="s">
        <v>12</v>
      </c>
      <c r="AF333" s="7" t="s">
        <v>13</v>
      </c>
      <c r="AG333" s="26" t="s">
        <v>14</v>
      </c>
      <c r="AH333" s="7" t="s">
        <v>7</v>
      </c>
      <c r="AI333" s="7" t="s">
        <v>15</v>
      </c>
      <c r="AJ333" s="7" t="s">
        <v>16</v>
      </c>
      <c r="AK333" s="7" t="s">
        <v>17</v>
      </c>
      <c r="AL333" s="7" t="s">
        <v>18</v>
      </c>
      <c r="AM333" s="7" t="s">
        <v>19</v>
      </c>
      <c r="AN333" s="7" t="s">
        <v>20</v>
      </c>
      <c r="AO333" s="31" t="s">
        <v>21</v>
      </c>
      <c r="AP333" s="6"/>
      <c r="AR333" t="s">
        <v>65</v>
      </c>
      <c r="AS333" t="s">
        <v>59</v>
      </c>
      <c r="AT333" t="s">
        <v>60</v>
      </c>
      <c r="AU333" t="s">
        <v>62</v>
      </c>
      <c r="AW333" t="s">
        <v>63</v>
      </c>
      <c r="AX333" s="53"/>
      <c r="AY333" s="53"/>
      <c r="AZ333" s="53"/>
    </row>
    <row r="334" spans="2:52" ht="12.75">
      <c r="B334" s="16" t="s">
        <v>6</v>
      </c>
      <c r="C334">
        <v>27</v>
      </c>
      <c r="G334" s="19">
        <v>0.04556062439127239</v>
      </c>
      <c r="H334" s="4">
        <v>0</v>
      </c>
      <c r="I334" s="4">
        <v>0</v>
      </c>
      <c r="J334" s="4">
        <v>0</v>
      </c>
      <c r="K334" s="4">
        <v>0</v>
      </c>
      <c r="L334" s="4">
        <v>0</v>
      </c>
      <c r="M334" s="4">
        <v>0</v>
      </c>
      <c r="N334" s="27">
        <v>0</v>
      </c>
      <c r="O334" s="4">
        <v>0</v>
      </c>
      <c r="P334" s="4">
        <v>0.00973277816409341</v>
      </c>
      <c r="Q334" s="4">
        <v>0.009006307555015632</v>
      </c>
      <c r="R334" s="4">
        <v>0</v>
      </c>
      <c r="S334" s="4">
        <v>0</v>
      </c>
      <c r="T334" s="4">
        <v>0</v>
      </c>
      <c r="U334" s="4">
        <v>0</v>
      </c>
      <c r="V334" s="17">
        <v>3.296988150886143E-08</v>
      </c>
      <c r="W334" s="17">
        <v>0.06429974308026294</v>
      </c>
      <c r="X334" s="18">
        <v>15.560537825423632</v>
      </c>
      <c r="Y334" s="18"/>
      <c r="Z334" s="19">
        <v>0.014205265780567614</v>
      </c>
      <c r="AA334" s="4">
        <v>0</v>
      </c>
      <c r="AB334" s="4">
        <v>0</v>
      </c>
      <c r="AC334" s="4">
        <v>0</v>
      </c>
      <c r="AD334" s="4">
        <v>0</v>
      </c>
      <c r="AE334" s="4">
        <v>0</v>
      </c>
      <c r="AF334" s="4">
        <v>0</v>
      </c>
      <c r="AG334" s="4">
        <v>0</v>
      </c>
      <c r="AH334" s="19">
        <v>0</v>
      </c>
      <c r="AI334" s="17">
        <v>0.00024063134926100943</v>
      </c>
      <c r="AJ334" s="4">
        <v>0.0002097615205072405</v>
      </c>
      <c r="AK334" s="4">
        <v>0</v>
      </c>
      <c r="AL334" s="4">
        <v>0</v>
      </c>
      <c r="AM334" s="4">
        <v>0</v>
      </c>
      <c r="AN334" s="4">
        <v>0</v>
      </c>
      <c r="AO334" s="4">
        <v>1.4785317235007785E-14</v>
      </c>
      <c r="AP334" s="6">
        <v>0.014655658650350649</v>
      </c>
      <c r="AQ334">
        <v>8.409818240970782</v>
      </c>
      <c r="AR334">
        <v>0</v>
      </c>
      <c r="AS334">
        <v>130.86129484356348</v>
      </c>
      <c r="AT334">
        <v>0</v>
      </c>
      <c r="AU334">
        <v>0</v>
      </c>
      <c r="AV334">
        <v>8.409818240970782</v>
      </c>
      <c r="AW334">
        <v>1</v>
      </c>
      <c r="AX334" s="53">
        <f>100*(C338+C339+C340+C341+C346+C347+C348+C349)/C350</f>
        <v>10.743801652892563</v>
      </c>
      <c r="AY334" s="53">
        <f>100*(X338+X339+X340+X341+X346+X347+X348+X349)/X350</f>
        <v>7.354247723459755</v>
      </c>
      <c r="AZ334" s="53" t="s">
        <v>93</v>
      </c>
    </row>
    <row r="335" spans="2:52" ht="12.75">
      <c r="B335" s="16" t="s">
        <v>8</v>
      </c>
      <c r="C335">
        <v>5</v>
      </c>
      <c r="G335" s="19">
        <v>0.03284180478694319</v>
      </c>
      <c r="H335" s="4">
        <v>0</v>
      </c>
      <c r="I335" s="4">
        <v>0</v>
      </c>
      <c r="J335" s="4">
        <v>0</v>
      </c>
      <c r="K335" s="4">
        <v>0</v>
      </c>
      <c r="L335" s="4">
        <v>0</v>
      </c>
      <c r="M335" s="4">
        <v>0</v>
      </c>
      <c r="N335" s="27">
        <v>0</v>
      </c>
      <c r="O335" s="4">
        <v>0</v>
      </c>
      <c r="P335" s="4">
        <v>0.013502042689022106</v>
      </c>
      <c r="Q335" s="4">
        <v>0.006492083866823727</v>
      </c>
      <c r="R335" s="4">
        <v>0</v>
      </c>
      <c r="S335" s="4">
        <v>0</v>
      </c>
      <c r="T335" s="4">
        <v>0</v>
      </c>
      <c r="U335" s="4">
        <v>0</v>
      </c>
      <c r="V335" s="17">
        <v>4.5738302063325976E-08</v>
      </c>
      <c r="W335" s="17">
        <v>0.05283597708109109</v>
      </c>
      <c r="X335" s="18">
        <v>12.786306453624045</v>
      </c>
      <c r="Y335" s="18"/>
      <c r="Z335" s="19">
        <v>0.007381150486778307</v>
      </c>
      <c r="AA335" s="4">
        <v>0</v>
      </c>
      <c r="AB335" s="4">
        <v>0</v>
      </c>
      <c r="AC335" s="4">
        <v>0</v>
      </c>
      <c r="AD335" s="4">
        <v>0</v>
      </c>
      <c r="AE335" s="4">
        <v>0</v>
      </c>
      <c r="AF335" s="4">
        <v>0</v>
      </c>
      <c r="AG335" s="4">
        <v>0</v>
      </c>
      <c r="AH335" s="19">
        <v>0</v>
      </c>
      <c r="AI335" s="17">
        <v>0.00046310291024579905</v>
      </c>
      <c r="AJ335" s="4">
        <v>0.00010899347982051697</v>
      </c>
      <c r="AK335" s="4">
        <v>0</v>
      </c>
      <c r="AL335" s="4">
        <v>0</v>
      </c>
      <c r="AM335" s="4">
        <v>0</v>
      </c>
      <c r="AN335" s="4">
        <v>0</v>
      </c>
      <c r="AO335" s="4">
        <v>2.845482710988125E-14</v>
      </c>
      <c r="AP335" s="6">
        <v>0.007953246876873078</v>
      </c>
      <c r="AQ335">
        <v>4.741523160706347</v>
      </c>
      <c r="AR335">
        <v>0</v>
      </c>
      <c r="AS335">
        <v>60.626568189747445</v>
      </c>
      <c r="AT335">
        <v>0</v>
      </c>
      <c r="AU335">
        <v>0</v>
      </c>
      <c r="AV335">
        <v>4.741523160706347</v>
      </c>
      <c r="AW335">
        <v>1</v>
      </c>
      <c r="AX335" s="53">
        <f>100*(C336+C337+C340+C341+C344+C345+C348+C349)/C350</f>
        <v>33.47107438016529</v>
      </c>
      <c r="AY335" s="53">
        <f>100*(X336+X337+X340+X341+X344+X345+X348+X349)/X350</f>
        <v>49.23948003260815</v>
      </c>
      <c r="AZ335" s="53" t="s">
        <v>94</v>
      </c>
    </row>
    <row r="336" spans="2:52" ht="12.75">
      <c r="B336" s="16" t="s">
        <v>9</v>
      </c>
      <c r="C336">
        <v>8</v>
      </c>
      <c r="G336" s="19">
        <v>0.030937889412835</v>
      </c>
      <c r="H336" s="4">
        <v>0</v>
      </c>
      <c r="I336" s="4">
        <v>0</v>
      </c>
      <c r="J336" s="4">
        <v>0</v>
      </c>
      <c r="K336" s="4">
        <v>0</v>
      </c>
      <c r="L336" s="4">
        <v>0</v>
      </c>
      <c r="M336" s="4">
        <v>0</v>
      </c>
      <c r="N336" s="27">
        <v>0</v>
      </c>
      <c r="O336" s="4">
        <v>0</v>
      </c>
      <c r="P336" s="4">
        <v>0.006609031780039832</v>
      </c>
      <c r="Q336" s="4">
        <v>0.013263121804815618</v>
      </c>
      <c r="R336" s="4">
        <v>0</v>
      </c>
      <c r="S336" s="4">
        <v>0</v>
      </c>
      <c r="T336" s="4">
        <v>0</v>
      </c>
      <c r="U336" s="4">
        <v>0</v>
      </c>
      <c r="V336" s="17">
        <v>4.8553033712338984E-08</v>
      </c>
      <c r="W336" s="17">
        <v>0.05081009155072416</v>
      </c>
      <c r="X336" s="18">
        <v>12.296042155275247</v>
      </c>
      <c r="Y336" s="18"/>
      <c r="Z336" s="19">
        <v>0.0065501522493395916</v>
      </c>
      <c r="AA336" s="4">
        <v>0</v>
      </c>
      <c r="AB336" s="4">
        <v>0</v>
      </c>
      <c r="AC336" s="4">
        <v>0</v>
      </c>
      <c r="AD336" s="4">
        <v>0</v>
      </c>
      <c r="AE336" s="4">
        <v>0</v>
      </c>
      <c r="AF336" s="4">
        <v>0</v>
      </c>
      <c r="AG336" s="4">
        <v>0</v>
      </c>
      <c r="AH336" s="19">
        <v>0</v>
      </c>
      <c r="AI336" s="17">
        <v>0.00011095688021408081</v>
      </c>
      <c r="AJ336" s="4">
        <v>0.0004549082274601725</v>
      </c>
      <c r="AK336" s="4">
        <v>0</v>
      </c>
      <c r="AL336" s="4">
        <v>0</v>
      </c>
      <c r="AM336" s="4">
        <v>0</v>
      </c>
      <c r="AN336" s="4">
        <v>0</v>
      </c>
      <c r="AO336" s="4">
        <v>3.2064805973703666E-14</v>
      </c>
      <c r="AP336" s="6">
        <v>0.00711601735704591</v>
      </c>
      <c r="AQ336">
        <v>1.5009690083067913</v>
      </c>
      <c r="AR336">
        <v>0</v>
      </c>
      <c r="AS336">
        <v>18.45597819990199</v>
      </c>
      <c r="AT336">
        <v>0</v>
      </c>
      <c r="AU336">
        <v>0</v>
      </c>
      <c r="AV336">
        <v>1.5009690083067913</v>
      </c>
      <c r="AW336">
        <v>1</v>
      </c>
      <c r="AX336" s="53">
        <f>100*(C335+C337+C339+C341+C343+C345+C347+C349)/C350</f>
        <v>22.31404958677686</v>
      </c>
      <c r="AY336" s="53">
        <f>100*(X335+X337+X339+X341+X343+X345+X347+X349)/X350</f>
        <v>49.46756908790542</v>
      </c>
      <c r="AZ336" s="53" t="s">
        <v>95</v>
      </c>
    </row>
    <row r="337" spans="2:52" ht="12.75">
      <c r="B337" s="16" t="s">
        <v>10</v>
      </c>
      <c r="C337">
        <v>4</v>
      </c>
      <c r="G337" s="19">
        <v>0.022301189638897916</v>
      </c>
      <c r="H337" s="4">
        <v>0</v>
      </c>
      <c r="I337" s="4">
        <v>0</v>
      </c>
      <c r="J337" s="4">
        <v>0</v>
      </c>
      <c r="K337" s="4">
        <v>0</v>
      </c>
      <c r="L337" s="4">
        <v>0</v>
      </c>
      <c r="M337" s="4">
        <v>0</v>
      </c>
      <c r="N337" s="27">
        <v>0</v>
      </c>
      <c r="O337" s="4">
        <v>0</v>
      </c>
      <c r="P337" s="4">
        <v>0.009168546505705102</v>
      </c>
      <c r="Q337" s="4">
        <v>0.009560555040651396</v>
      </c>
      <c r="R337" s="4">
        <v>0</v>
      </c>
      <c r="S337" s="4">
        <v>0</v>
      </c>
      <c r="T337" s="4">
        <v>0</v>
      </c>
      <c r="U337" s="4">
        <v>0</v>
      </c>
      <c r="V337" s="17">
        <v>6.735642411784026E-08</v>
      </c>
      <c r="W337" s="17">
        <v>0.04103035854167854</v>
      </c>
      <c r="X337" s="18">
        <v>9.929346767086207</v>
      </c>
      <c r="Y337" s="18"/>
      <c r="Z337" s="19">
        <v>0.003403502631384985</v>
      </c>
      <c r="AA337" s="4">
        <v>0</v>
      </c>
      <c r="AB337" s="4">
        <v>0</v>
      </c>
      <c r="AC337" s="4">
        <v>0</v>
      </c>
      <c r="AD337" s="4">
        <v>0</v>
      </c>
      <c r="AE337" s="4">
        <v>0</v>
      </c>
      <c r="AF337" s="4">
        <v>0</v>
      </c>
      <c r="AG337" s="4">
        <v>0</v>
      </c>
      <c r="AH337" s="19">
        <v>0</v>
      </c>
      <c r="AI337" s="17">
        <v>0.0002135401488490153</v>
      </c>
      <c r="AJ337" s="4">
        <v>0.00023637333763585104</v>
      </c>
      <c r="AK337" s="4">
        <v>0</v>
      </c>
      <c r="AL337" s="4">
        <v>0</v>
      </c>
      <c r="AM337" s="4">
        <v>0</v>
      </c>
      <c r="AN337" s="4">
        <v>0</v>
      </c>
      <c r="AO337" s="4">
        <v>6.170976894112919E-14</v>
      </c>
      <c r="AP337" s="6">
        <v>0.0038534161179315614</v>
      </c>
      <c r="AQ337">
        <v>3.540731722744799</v>
      </c>
      <c r="AR337">
        <v>0</v>
      </c>
      <c r="AS337">
        <v>35.15715308435565</v>
      </c>
      <c r="AT337">
        <v>0</v>
      </c>
      <c r="AU337">
        <v>0</v>
      </c>
      <c r="AV337">
        <v>3.540731722744799</v>
      </c>
      <c r="AW337">
        <v>1</v>
      </c>
      <c r="AX337" s="53">
        <f>100*(C342+C343+C344+C345+C346+C347+C348+C349)/C350</f>
        <v>78.51239669421487</v>
      </c>
      <c r="AY337" s="53">
        <f>100*(X342+X343+X344+X345+X346+X347+X348+X349)/X350</f>
        <v>78.37325281555688</v>
      </c>
      <c r="AZ337" s="53" t="s">
        <v>96</v>
      </c>
    </row>
    <row r="338" spans="2:49" ht="12.75">
      <c r="B338" s="3" t="s">
        <v>11</v>
      </c>
      <c r="C338">
        <v>0</v>
      </c>
      <c r="G338" s="19">
        <v>1.2169886594613695E-06</v>
      </c>
      <c r="H338" s="4">
        <v>0</v>
      </c>
      <c r="I338" s="4">
        <v>0</v>
      </c>
      <c r="J338" s="4">
        <v>0</v>
      </c>
      <c r="K338" s="4">
        <v>0</v>
      </c>
      <c r="L338" s="4">
        <v>0</v>
      </c>
      <c r="M338" s="4">
        <v>0</v>
      </c>
      <c r="N338" s="27">
        <v>0</v>
      </c>
      <c r="O338" s="4">
        <v>0</v>
      </c>
      <c r="P338" s="4">
        <v>2.59976258205625E-07</v>
      </c>
      <c r="Q338" s="4">
        <v>2.405712016575192E-07</v>
      </c>
      <c r="R338" s="4">
        <v>0</v>
      </c>
      <c r="S338" s="4">
        <v>0</v>
      </c>
      <c r="T338" s="4">
        <v>0</v>
      </c>
      <c r="U338" s="4">
        <v>0</v>
      </c>
      <c r="V338" s="17">
        <v>0.001234299412711721</v>
      </c>
      <c r="W338" s="17">
        <v>0.0012360169488310456</v>
      </c>
      <c r="X338" s="18">
        <v>0.29911610161711305</v>
      </c>
      <c r="Y338" s="18"/>
      <c r="Z338" s="19">
        <v>1.0135451311618729E-11</v>
      </c>
      <c r="AA338" s="4">
        <v>0</v>
      </c>
      <c r="AB338" s="4">
        <v>0</v>
      </c>
      <c r="AC338" s="4">
        <v>0</v>
      </c>
      <c r="AD338" s="4">
        <v>0</v>
      </c>
      <c r="AE338" s="4">
        <v>0</v>
      </c>
      <c r="AF338" s="4">
        <v>0</v>
      </c>
      <c r="AG338" s="4">
        <v>0</v>
      </c>
      <c r="AH338" s="19">
        <v>0</v>
      </c>
      <c r="AI338" s="17">
        <v>1.716903690616219E-13</v>
      </c>
      <c r="AJ338" s="4">
        <v>1.4966475889951972E-13</v>
      </c>
      <c r="AK338" s="4">
        <v>0</v>
      </c>
      <c r="AL338" s="4">
        <v>0</v>
      </c>
      <c r="AM338" s="4">
        <v>0</v>
      </c>
      <c r="AN338" s="4">
        <v>0</v>
      </c>
      <c r="AO338" s="4">
        <v>2.0722250496386525E-05</v>
      </c>
      <c r="AP338" s="6">
        <v>2.0722260953192966E-05</v>
      </c>
      <c r="AQ338">
        <v>0.29911610161711305</v>
      </c>
      <c r="AR338">
        <v>1</v>
      </c>
      <c r="AS338">
        <v>0.0894704422466191</v>
      </c>
      <c r="AT338">
        <v>0.29911610161711305</v>
      </c>
      <c r="AU338">
        <v>0</v>
      </c>
      <c r="AV338">
        <v>0</v>
      </c>
      <c r="AW338">
        <v>0</v>
      </c>
    </row>
    <row r="339" spans="1:50" ht="12.75">
      <c r="A339" s="15"/>
      <c r="B339" s="16" t="s">
        <v>12</v>
      </c>
      <c r="C339">
        <v>3</v>
      </c>
      <c r="G339" s="19">
        <v>8.77251014795361E-07</v>
      </c>
      <c r="H339" s="17">
        <v>0</v>
      </c>
      <c r="I339" s="17">
        <v>0</v>
      </c>
      <c r="J339" s="17">
        <v>0</v>
      </c>
      <c r="K339" s="17">
        <v>0</v>
      </c>
      <c r="L339" s="17">
        <v>0</v>
      </c>
      <c r="M339" s="17">
        <v>0</v>
      </c>
      <c r="N339" s="27">
        <v>0</v>
      </c>
      <c r="O339" s="17">
        <v>0</v>
      </c>
      <c r="P339" s="17">
        <v>3.606586400350317E-07</v>
      </c>
      <c r="Q339" s="17">
        <v>1.7341273408250456E-07</v>
      </c>
      <c r="R339" s="17">
        <v>0</v>
      </c>
      <c r="S339" s="17">
        <v>0</v>
      </c>
      <c r="T339" s="17">
        <v>0</v>
      </c>
      <c r="U339" s="17">
        <v>0</v>
      </c>
      <c r="V339" s="17">
        <v>0.0017123130806527467</v>
      </c>
      <c r="W339" s="17">
        <v>0.0017137244030416595</v>
      </c>
      <c r="X339" s="18">
        <v>0.4147213055360816</v>
      </c>
      <c r="Y339" s="18"/>
      <c r="Z339" s="19">
        <v>5.266447846742303E-12</v>
      </c>
      <c r="AA339" s="4">
        <v>0</v>
      </c>
      <c r="AB339" s="4">
        <v>0</v>
      </c>
      <c r="AC339" s="17">
        <v>0</v>
      </c>
      <c r="AD339" s="17">
        <v>0</v>
      </c>
      <c r="AE339" s="17">
        <v>0</v>
      </c>
      <c r="AF339" s="17">
        <v>0</v>
      </c>
      <c r="AG339" s="17">
        <v>0</v>
      </c>
      <c r="AH339" s="19">
        <v>0</v>
      </c>
      <c r="AI339" s="17">
        <v>3.3042373663195766E-13</v>
      </c>
      <c r="AJ339" s="17">
        <v>7.776680317491438E-14</v>
      </c>
      <c r="AK339" s="17">
        <v>0</v>
      </c>
      <c r="AL339" s="17">
        <v>0</v>
      </c>
      <c r="AM339" s="17">
        <v>0</v>
      </c>
      <c r="AN339" s="17">
        <v>0</v>
      </c>
      <c r="AO339" s="17">
        <v>3.98806495545592E-05</v>
      </c>
      <c r="AP339" s="6">
        <v>3.9880655229197584E-05</v>
      </c>
      <c r="AQ339">
        <v>16.116041878797496</v>
      </c>
      <c r="AR339">
        <v>1</v>
      </c>
      <c r="AS339">
        <v>6.683665928049063</v>
      </c>
      <c r="AT339">
        <v>0.4147213055360816</v>
      </c>
      <c r="AU339">
        <v>3</v>
      </c>
      <c r="AV339">
        <v>0</v>
      </c>
      <c r="AW339">
        <v>0</v>
      </c>
      <c r="AX339" s="15"/>
    </row>
    <row r="340" spans="1:50" ht="12.75">
      <c r="A340" s="15"/>
      <c r="B340" s="16" t="s">
        <v>13</v>
      </c>
      <c r="C340">
        <v>3</v>
      </c>
      <c r="G340" s="19">
        <v>8.263947447195787E-07</v>
      </c>
      <c r="H340" s="17">
        <v>0</v>
      </c>
      <c r="I340" s="17">
        <v>0</v>
      </c>
      <c r="J340" s="17">
        <v>0</v>
      </c>
      <c r="K340" s="17">
        <v>0</v>
      </c>
      <c r="L340" s="17">
        <v>0</v>
      </c>
      <c r="M340" s="17">
        <v>0</v>
      </c>
      <c r="N340" s="27">
        <v>0</v>
      </c>
      <c r="O340" s="17">
        <v>0</v>
      </c>
      <c r="P340" s="17">
        <v>1.7653657810425013E-07</v>
      </c>
      <c r="Q340" s="17">
        <v>3.542767255974526E-07</v>
      </c>
      <c r="R340" s="17">
        <v>0</v>
      </c>
      <c r="S340" s="17">
        <v>0</v>
      </c>
      <c r="T340" s="17">
        <v>0</v>
      </c>
      <c r="U340" s="17">
        <v>0</v>
      </c>
      <c r="V340" s="17">
        <v>0.0018176886981048162</v>
      </c>
      <c r="W340" s="17">
        <v>0.0018190459061532376</v>
      </c>
      <c r="X340" s="18">
        <v>0.44020910928908347</v>
      </c>
      <c r="Y340" s="18"/>
      <c r="Z340" s="19">
        <v>4.673530944960508E-12</v>
      </c>
      <c r="AA340" s="4">
        <v>0</v>
      </c>
      <c r="AB340" s="4">
        <v>0</v>
      </c>
      <c r="AC340" s="17">
        <v>0</v>
      </c>
      <c r="AD340" s="17">
        <v>0</v>
      </c>
      <c r="AE340" s="17">
        <v>0</v>
      </c>
      <c r="AF340" s="17">
        <v>0</v>
      </c>
      <c r="AG340" s="17">
        <v>0</v>
      </c>
      <c r="AH340" s="19">
        <v>0</v>
      </c>
      <c r="AI340" s="17">
        <v>7.916768855091359E-14</v>
      </c>
      <c r="AJ340" s="17">
        <v>3.2457683382345855E-13</v>
      </c>
      <c r="AK340" s="17">
        <v>0</v>
      </c>
      <c r="AL340" s="17">
        <v>0</v>
      </c>
      <c r="AM340" s="17">
        <v>0</v>
      </c>
      <c r="AN340" s="17">
        <v>0</v>
      </c>
      <c r="AO340" s="17">
        <v>4.4940188360102404E-05</v>
      </c>
      <c r="AP340" s="6">
        <v>4.494019343737787E-05</v>
      </c>
      <c r="AQ340">
        <v>14.885038191846162</v>
      </c>
      <c r="AR340">
        <v>1</v>
      </c>
      <c r="AS340">
        <v>6.552529404166588</v>
      </c>
      <c r="AT340">
        <v>0.44020910928908347</v>
      </c>
      <c r="AU340">
        <v>3</v>
      </c>
      <c r="AV340">
        <v>0</v>
      </c>
      <c r="AW340">
        <v>0</v>
      </c>
      <c r="AX340" s="15"/>
    </row>
    <row r="341" spans="1:50" ht="13.5" thickBot="1">
      <c r="A341" s="11" t="s">
        <v>4</v>
      </c>
      <c r="B341" s="12" t="s">
        <v>14</v>
      </c>
      <c r="C341">
        <v>2</v>
      </c>
      <c r="G341" s="20">
        <v>5.956962891894685E-07</v>
      </c>
      <c r="H341" s="13">
        <v>0</v>
      </c>
      <c r="I341" s="13">
        <v>0</v>
      </c>
      <c r="J341" s="13">
        <v>0</v>
      </c>
      <c r="K341" s="13">
        <v>0</v>
      </c>
      <c r="L341" s="13">
        <v>0</v>
      </c>
      <c r="M341" s="13">
        <v>0</v>
      </c>
      <c r="N341" s="28">
        <v>0</v>
      </c>
      <c r="O341" s="13">
        <v>0</v>
      </c>
      <c r="P341" s="13">
        <v>2.449048332911941E-07</v>
      </c>
      <c r="Q341" s="13">
        <v>2.5537593520903987E-07</v>
      </c>
      <c r="R341" s="13">
        <v>0</v>
      </c>
      <c r="S341" s="13">
        <v>0</v>
      </c>
      <c r="T341" s="13">
        <v>0</v>
      </c>
      <c r="U341" s="13">
        <v>0</v>
      </c>
      <c r="V341" s="13">
        <v>0.002521634623062462</v>
      </c>
      <c r="W341" s="13">
        <v>0.0025227306001201514</v>
      </c>
      <c r="X341" s="14">
        <v>0.6105008052290767</v>
      </c>
      <c r="Y341" s="14"/>
      <c r="Z341" s="20">
        <v>2.4283977323788125E-12</v>
      </c>
      <c r="AA341" s="13">
        <v>0</v>
      </c>
      <c r="AB341" s="13">
        <v>0</v>
      </c>
      <c r="AC341" s="13">
        <v>0</v>
      </c>
      <c r="AD341" s="13">
        <v>0</v>
      </c>
      <c r="AE341" s="13">
        <v>0</v>
      </c>
      <c r="AF341" s="13">
        <v>0</v>
      </c>
      <c r="AG341" s="13">
        <v>0</v>
      </c>
      <c r="AH341" s="20">
        <v>0</v>
      </c>
      <c r="AI341" s="13">
        <v>1.5236080867249557E-13</v>
      </c>
      <c r="AJ341" s="13">
        <v>1.686522795124537E-13</v>
      </c>
      <c r="AK341" s="13">
        <v>0</v>
      </c>
      <c r="AL341" s="13">
        <v>0</v>
      </c>
      <c r="AM341" s="13">
        <v>0</v>
      </c>
      <c r="AN341" s="13">
        <v>0</v>
      </c>
      <c r="AO341" s="13">
        <v>8.648886390103478E-05</v>
      </c>
      <c r="AP341" s="6">
        <v>8.64888666504456E-05</v>
      </c>
      <c r="AQ341">
        <v>3.162498715369572</v>
      </c>
      <c r="AR341">
        <v>1</v>
      </c>
      <c r="AS341">
        <v>1.930708012269044</v>
      </c>
      <c r="AT341">
        <v>0.6105008052290767</v>
      </c>
      <c r="AU341">
        <v>2</v>
      </c>
      <c r="AV341">
        <v>0</v>
      </c>
      <c r="AW341">
        <v>0</v>
      </c>
      <c r="AX341" s="11"/>
    </row>
    <row r="342" spans="2:49" ht="12.75">
      <c r="B342" s="3" t="s">
        <v>7</v>
      </c>
      <c r="C342">
        <v>99</v>
      </c>
      <c r="G342" s="19">
        <v>0.005011964708312534</v>
      </c>
      <c r="H342" s="4">
        <v>0</v>
      </c>
      <c r="I342" s="4">
        <v>0</v>
      </c>
      <c r="J342" s="4">
        <v>0</v>
      </c>
      <c r="K342" s="4">
        <v>0</v>
      </c>
      <c r="L342" s="4">
        <v>0</v>
      </c>
      <c r="M342" s="4">
        <v>0</v>
      </c>
      <c r="N342" s="27">
        <v>0</v>
      </c>
      <c r="O342" s="4">
        <v>0</v>
      </c>
      <c r="P342" s="4">
        <v>0.08847457554567166</v>
      </c>
      <c r="Q342" s="4">
        <v>0.08187068735456042</v>
      </c>
      <c r="R342" s="4">
        <v>0</v>
      </c>
      <c r="S342" s="4">
        <v>0</v>
      </c>
      <c r="T342" s="4">
        <v>0</v>
      </c>
      <c r="U342" s="4">
        <v>0</v>
      </c>
      <c r="V342" s="17">
        <v>2.997084925914693E-07</v>
      </c>
      <c r="W342" s="17">
        <v>0.1753575273170372</v>
      </c>
      <c r="X342" s="18">
        <v>42.436521610723</v>
      </c>
      <c r="Y342" s="18"/>
      <c r="Z342" s="19">
        <v>0.00017190402192669086</v>
      </c>
      <c r="AA342" s="4">
        <v>0</v>
      </c>
      <c r="AB342" s="19">
        <v>0</v>
      </c>
      <c r="AC342" s="4">
        <v>0</v>
      </c>
      <c r="AD342" s="4">
        <v>0</v>
      </c>
      <c r="AE342" s="4">
        <v>0</v>
      </c>
      <c r="AF342" s="4">
        <v>0</v>
      </c>
      <c r="AG342" s="4">
        <v>0</v>
      </c>
      <c r="AH342" s="19">
        <v>0</v>
      </c>
      <c r="AI342" s="17">
        <v>0.019884539250902163</v>
      </c>
      <c r="AJ342" s="4">
        <v>0.01733361509489317</v>
      </c>
      <c r="AK342" s="4">
        <v>0</v>
      </c>
      <c r="AL342" s="4">
        <v>0</v>
      </c>
      <c r="AM342" s="4">
        <v>0</v>
      </c>
      <c r="AN342" s="4">
        <v>0</v>
      </c>
      <c r="AO342" s="4">
        <v>1.2217827053683505E-12</v>
      </c>
      <c r="AP342" s="6">
        <v>0.0373900583689438</v>
      </c>
      <c r="AQ342">
        <v>75.39324539468768</v>
      </c>
      <c r="AR342">
        <v>0</v>
      </c>
      <c r="AS342">
        <v>3199.4270874942063</v>
      </c>
      <c r="AT342">
        <v>0</v>
      </c>
      <c r="AU342">
        <v>0</v>
      </c>
      <c r="AV342">
        <v>75.39324539468768</v>
      </c>
      <c r="AW342">
        <v>1</v>
      </c>
    </row>
    <row r="343" spans="2:49" ht="12.75">
      <c r="B343" s="3" t="s">
        <v>15</v>
      </c>
      <c r="C343">
        <v>21</v>
      </c>
      <c r="G343" s="19">
        <v>0.003612811912669488</v>
      </c>
      <c r="H343" s="4">
        <v>0</v>
      </c>
      <c r="I343" s="4">
        <v>0</v>
      </c>
      <c r="J343" s="4">
        <v>0</v>
      </c>
      <c r="K343" s="4">
        <v>0</v>
      </c>
      <c r="L343" s="4">
        <v>0</v>
      </c>
      <c r="M343" s="4">
        <v>0</v>
      </c>
      <c r="N343" s="27">
        <v>0</v>
      </c>
      <c r="O343" s="4">
        <v>0</v>
      </c>
      <c r="P343" s="4">
        <v>0.12273859280157995</v>
      </c>
      <c r="Q343" s="4">
        <v>0.059015458365544164</v>
      </c>
      <c r="R343" s="4">
        <v>0</v>
      </c>
      <c r="S343" s="4">
        <v>0</v>
      </c>
      <c r="T343" s="4">
        <v>0</v>
      </c>
      <c r="U343" s="4">
        <v>0</v>
      </c>
      <c r="V343" s="17">
        <v>4.157781871739008E-07</v>
      </c>
      <c r="W343" s="17">
        <v>0.1853672788579808</v>
      </c>
      <c r="X343" s="18">
        <v>44.85888148363135</v>
      </c>
      <c r="Y343" s="18"/>
      <c r="Z343" s="19">
        <v>8.932247201309615E-05</v>
      </c>
      <c r="AA343" s="4">
        <v>0</v>
      </c>
      <c r="AB343" s="19">
        <v>0</v>
      </c>
      <c r="AC343" s="4">
        <v>0</v>
      </c>
      <c r="AD343" s="4">
        <v>0</v>
      </c>
      <c r="AE343" s="4">
        <v>0</v>
      </c>
      <c r="AF343" s="4">
        <v>0</v>
      </c>
      <c r="AG343" s="4">
        <v>0</v>
      </c>
      <c r="AH343" s="19">
        <v>0</v>
      </c>
      <c r="AI343" s="17">
        <v>0.03826844683483526</v>
      </c>
      <c r="AJ343" s="4">
        <v>0.009006661576886473</v>
      </c>
      <c r="AK343" s="4">
        <v>0</v>
      </c>
      <c r="AL343" s="4">
        <v>0</v>
      </c>
      <c r="AM343" s="4">
        <v>0</v>
      </c>
      <c r="AN343" s="4">
        <v>0</v>
      </c>
      <c r="AO343" s="4">
        <v>2.351360819285195E-12</v>
      </c>
      <c r="AP343" s="6">
        <v>0.047364430886086197</v>
      </c>
      <c r="AQ343">
        <v>12.689710639746567</v>
      </c>
      <c r="AR343">
        <v>0</v>
      </c>
      <c r="AS343">
        <v>569.246225649967</v>
      </c>
      <c r="AT343">
        <v>0</v>
      </c>
      <c r="AU343">
        <v>0</v>
      </c>
      <c r="AV343">
        <v>12.689710639746567</v>
      </c>
      <c r="AW343">
        <v>1</v>
      </c>
    </row>
    <row r="344" spans="2:49" ht="12.75">
      <c r="B344" s="3" t="s">
        <v>16</v>
      </c>
      <c r="C344">
        <v>44</v>
      </c>
      <c r="G344" s="19">
        <v>0.0034033688510315555</v>
      </c>
      <c r="H344" s="4">
        <v>0</v>
      </c>
      <c r="I344" s="4">
        <v>0</v>
      </c>
      <c r="J344" s="4">
        <v>0</v>
      </c>
      <c r="K344" s="4">
        <v>0</v>
      </c>
      <c r="L344" s="4">
        <v>0</v>
      </c>
      <c r="M344" s="4">
        <v>0</v>
      </c>
      <c r="N344" s="27">
        <v>0</v>
      </c>
      <c r="O344" s="4">
        <v>0</v>
      </c>
      <c r="P344" s="4">
        <v>0.06007855841861218</v>
      </c>
      <c r="Q344" s="4">
        <v>0.12056671305021045</v>
      </c>
      <c r="R344" s="4">
        <v>0</v>
      </c>
      <c r="S344" s="4">
        <v>0</v>
      </c>
      <c r="T344" s="4">
        <v>0</v>
      </c>
      <c r="U344" s="4">
        <v>0</v>
      </c>
      <c r="V344" s="17">
        <v>4.4136514536022157E-07</v>
      </c>
      <c r="W344" s="17">
        <v>0.18404908168499953</v>
      </c>
      <c r="X344" s="18">
        <v>44.53987776776989</v>
      </c>
      <c r="Y344" s="18"/>
      <c r="Z344" s="19">
        <v>7.926620545417518E-05</v>
      </c>
      <c r="AA344" s="4">
        <v>0</v>
      </c>
      <c r="AB344" s="19">
        <v>0</v>
      </c>
      <c r="AC344" s="4">
        <v>0</v>
      </c>
      <c r="AD344" s="4">
        <v>0</v>
      </c>
      <c r="AE344" s="4">
        <v>0</v>
      </c>
      <c r="AF344" s="4">
        <v>0</v>
      </c>
      <c r="AG344" s="4">
        <v>0</v>
      </c>
      <c r="AH344" s="19">
        <v>0</v>
      </c>
      <c r="AI344" s="17">
        <v>0.009168906904899446</v>
      </c>
      <c r="AJ344" s="4">
        <v>0.037591280322658426</v>
      </c>
      <c r="AK344" s="4">
        <v>0</v>
      </c>
      <c r="AL344" s="4">
        <v>0</v>
      </c>
      <c r="AM344" s="4">
        <v>0</v>
      </c>
      <c r="AN344" s="4">
        <v>0</v>
      </c>
      <c r="AO344" s="4">
        <v>2.649670938199676E-12</v>
      </c>
      <c r="AP344" s="6">
        <v>0.04683945343566172</v>
      </c>
      <c r="AQ344">
        <v>0.006543978536535402</v>
      </c>
      <c r="AR344">
        <v>0</v>
      </c>
      <c r="AS344">
        <v>0.2914680041321965</v>
      </c>
      <c r="AT344">
        <v>0</v>
      </c>
      <c r="AU344">
        <v>0</v>
      </c>
      <c r="AV344">
        <v>0.006543978536535402</v>
      </c>
      <c r="AW344">
        <v>1</v>
      </c>
    </row>
    <row r="345" spans="2:49" ht="12.75">
      <c r="B345" s="3" t="s">
        <v>17</v>
      </c>
      <c r="C345">
        <v>8</v>
      </c>
      <c r="G345" s="19">
        <v>0.002453275759867609</v>
      </c>
      <c r="H345" s="4">
        <v>0</v>
      </c>
      <c r="I345" s="4">
        <v>0</v>
      </c>
      <c r="J345" s="4">
        <v>0</v>
      </c>
      <c r="K345" s="4">
        <v>0</v>
      </c>
      <c r="L345" s="4">
        <v>0</v>
      </c>
      <c r="M345" s="4">
        <v>0</v>
      </c>
      <c r="N345" s="27">
        <v>0</v>
      </c>
      <c r="O345" s="4">
        <v>0</v>
      </c>
      <c r="P345" s="4">
        <v>0.08334549979323096</v>
      </c>
      <c r="Q345" s="4">
        <v>0.08690900326109043</v>
      </c>
      <c r="R345" s="4">
        <v>0</v>
      </c>
      <c r="S345" s="4">
        <v>0</v>
      </c>
      <c r="T345" s="4">
        <v>0</v>
      </c>
      <c r="U345" s="4">
        <v>0</v>
      </c>
      <c r="V345" s="17">
        <v>6.122949617906204E-07</v>
      </c>
      <c r="W345" s="17">
        <v>0.17270839110915076</v>
      </c>
      <c r="X345" s="18">
        <v>41.79543064841448</v>
      </c>
      <c r="Y345" s="18"/>
      <c r="Z345" s="19">
        <v>4.118724704000405E-05</v>
      </c>
      <c r="AA345" s="4">
        <v>0</v>
      </c>
      <c r="AB345" s="19">
        <v>0</v>
      </c>
      <c r="AC345" s="4">
        <v>0</v>
      </c>
      <c r="AD345" s="4">
        <v>0</v>
      </c>
      <c r="AE345" s="4">
        <v>0</v>
      </c>
      <c r="AF345" s="4">
        <v>0</v>
      </c>
      <c r="AG345" s="4">
        <v>0</v>
      </c>
      <c r="AH345" s="19">
        <v>0</v>
      </c>
      <c r="AI345" s="17">
        <v>0.0176458615407837</v>
      </c>
      <c r="AJ345" s="4">
        <v>0.01953267903172756</v>
      </c>
      <c r="AK345" s="4">
        <v>0</v>
      </c>
      <c r="AL345" s="4">
        <v>0</v>
      </c>
      <c r="AM345" s="4">
        <v>0</v>
      </c>
      <c r="AN345" s="4">
        <v>0</v>
      </c>
      <c r="AO345" s="4">
        <v>5.099378474344178E-12</v>
      </c>
      <c r="AP345" s="6">
        <v>0.03721972782465065</v>
      </c>
      <c r="AQ345">
        <v>27.32669851686574</v>
      </c>
      <c r="AR345">
        <v>0</v>
      </c>
      <c r="AS345">
        <v>1142.1311327117928</v>
      </c>
      <c r="AT345">
        <v>0</v>
      </c>
      <c r="AU345">
        <v>0</v>
      </c>
      <c r="AV345">
        <v>27.32669851686574</v>
      </c>
      <c r="AW345">
        <v>1</v>
      </c>
    </row>
    <row r="346" spans="2:49" ht="12.75">
      <c r="B346" s="3" t="s">
        <v>18</v>
      </c>
      <c r="C346">
        <v>5</v>
      </c>
      <c r="G346" s="19">
        <v>1.3387665979409596E-07</v>
      </c>
      <c r="H346" s="4">
        <v>0</v>
      </c>
      <c r="I346" s="4">
        <v>0</v>
      </c>
      <c r="J346" s="4">
        <v>0</v>
      </c>
      <c r="K346" s="4">
        <v>0</v>
      </c>
      <c r="L346" s="4">
        <v>0</v>
      </c>
      <c r="M346" s="4">
        <v>0</v>
      </c>
      <c r="N346" s="27">
        <v>0</v>
      </c>
      <c r="O346" s="4">
        <v>0</v>
      </c>
      <c r="P346" s="4">
        <v>2.3632809367372585E-06</v>
      </c>
      <c r="Q346" s="4">
        <v>2.186881751161725E-06</v>
      </c>
      <c r="R346" s="4">
        <v>0</v>
      </c>
      <c r="S346" s="4">
        <v>0</v>
      </c>
      <c r="T346" s="4">
        <v>0</v>
      </c>
      <c r="U346" s="4">
        <v>0</v>
      </c>
      <c r="V346" s="17">
        <v>0.011220241003624424</v>
      </c>
      <c r="W346" s="17">
        <v>0.011224925042972117</v>
      </c>
      <c r="X346" s="18">
        <v>2.7164318603992523</v>
      </c>
      <c r="Y346" s="18"/>
      <c r="Z346" s="19">
        <v>1.226534491802936E-13</v>
      </c>
      <c r="AA346" s="4">
        <v>0</v>
      </c>
      <c r="AB346" s="19">
        <v>0</v>
      </c>
      <c r="AC346" s="4">
        <v>0</v>
      </c>
      <c r="AD346" s="4">
        <v>0</v>
      </c>
      <c r="AE346" s="4">
        <v>0</v>
      </c>
      <c r="AF346" s="4">
        <v>0</v>
      </c>
      <c r="AG346" s="4">
        <v>0</v>
      </c>
      <c r="AH346" s="19">
        <v>0</v>
      </c>
      <c r="AI346" s="17">
        <v>1.4187610604737123E-11</v>
      </c>
      <c r="AJ346" s="4">
        <v>1.2367527265062491E-11</v>
      </c>
      <c r="AK346" s="4">
        <v>0</v>
      </c>
      <c r="AL346" s="4">
        <v>0</v>
      </c>
      <c r="AM346" s="4">
        <v>0</v>
      </c>
      <c r="AN346" s="4">
        <v>0</v>
      </c>
      <c r="AO346" s="4">
        <v>0.0017123803886229191</v>
      </c>
      <c r="AP346" s="6">
        <v>0.0017123804153007104</v>
      </c>
      <c r="AQ346">
        <v>1.9196813011290415</v>
      </c>
      <c r="AR346">
        <v>1</v>
      </c>
      <c r="AS346">
        <v>5.21468344819962</v>
      </c>
      <c r="AT346">
        <v>2.7164318603992523</v>
      </c>
      <c r="AU346">
        <v>5</v>
      </c>
      <c r="AV346">
        <v>0</v>
      </c>
      <c r="AW346">
        <v>0</v>
      </c>
    </row>
    <row r="347" spans="2:49" ht="12.75">
      <c r="B347" s="16" t="s">
        <v>19</v>
      </c>
      <c r="C347">
        <v>1</v>
      </c>
      <c r="G347" s="19">
        <v>9.650331147191103E-08</v>
      </c>
      <c r="H347" s="4">
        <v>0</v>
      </c>
      <c r="I347" s="4">
        <v>0</v>
      </c>
      <c r="J347" s="4">
        <v>0</v>
      </c>
      <c r="K347" s="4">
        <v>0</v>
      </c>
      <c r="L347" s="4">
        <v>0</v>
      </c>
      <c r="M347" s="4">
        <v>0</v>
      </c>
      <c r="N347" s="27">
        <v>0</v>
      </c>
      <c r="O347" s="4">
        <v>0</v>
      </c>
      <c r="P347" s="4">
        <v>3.2785212563149887E-06</v>
      </c>
      <c r="Q347" s="4">
        <v>1.5763862880145235E-06</v>
      </c>
      <c r="R347" s="4">
        <v>0</v>
      </c>
      <c r="S347" s="4">
        <v>0</v>
      </c>
      <c r="T347" s="4">
        <v>0</v>
      </c>
      <c r="U347" s="4">
        <v>0</v>
      </c>
      <c r="V347" s="17">
        <v>0.015565563137045444</v>
      </c>
      <c r="W347" s="17">
        <v>0.015570514547901246</v>
      </c>
      <c r="X347" s="18">
        <v>3.7680645205921013</v>
      </c>
      <c r="Y347" s="18"/>
      <c r="Z347" s="19">
        <v>6.37315471675735E-14</v>
      </c>
      <c r="AA347" s="4">
        <v>0</v>
      </c>
      <c r="AB347" s="19">
        <v>0</v>
      </c>
      <c r="AC347" s="4">
        <v>0</v>
      </c>
      <c r="AD347" s="4">
        <v>0</v>
      </c>
      <c r="AE347" s="4">
        <v>0</v>
      </c>
      <c r="AF347" s="4">
        <v>0</v>
      </c>
      <c r="AG347" s="4">
        <v>0</v>
      </c>
      <c r="AH347" s="19">
        <v>0</v>
      </c>
      <c r="AI347" s="17">
        <v>2.7304521130208957E-11</v>
      </c>
      <c r="AJ347" s="4">
        <v>6.426249343228577E-12</v>
      </c>
      <c r="AK347" s="4">
        <v>0</v>
      </c>
      <c r="AL347" s="4">
        <v>0</v>
      </c>
      <c r="AM347" s="4">
        <v>0</v>
      </c>
      <c r="AN347" s="4">
        <v>0</v>
      </c>
      <c r="AO347" s="4">
        <v>0.0032955321235345007</v>
      </c>
      <c r="AP347" s="6">
        <v>0.0032955321573290026</v>
      </c>
      <c r="AQ347">
        <v>2.033452757586213</v>
      </c>
      <c r="AR347">
        <v>1</v>
      </c>
      <c r="AS347">
        <v>7.66218119016078</v>
      </c>
      <c r="AT347">
        <v>3.7680645205921013</v>
      </c>
      <c r="AU347">
        <v>1</v>
      </c>
      <c r="AV347">
        <v>0</v>
      </c>
      <c r="AW347">
        <v>0</v>
      </c>
    </row>
    <row r="348" spans="2:49" ht="12.75">
      <c r="B348" s="16" t="s">
        <v>20</v>
      </c>
      <c r="C348">
        <v>2</v>
      </c>
      <c r="G348" s="19">
        <v>9.090879133041229E-08</v>
      </c>
      <c r="H348" s="4">
        <v>0</v>
      </c>
      <c r="I348" s="4">
        <v>0</v>
      </c>
      <c r="J348" s="4">
        <v>0</v>
      </c>
      <c r="K348" s="4">
        <v>0</v>
      </c>
      <c r="L348" s="4">
        <v>0</v>
      </c>
      <c r="M348" s="4">
        <v>0</v>
      </c>
      <c r="N348" s="27">
        <v>0</v>
      </c>
      <c r="O348" s="4">
        <v>0</v>
      </c>
      <c r="P348" s="4">
        <v>1.604783192704539E-06</v>
      </c>
      <c r="Q348" s="4">
        <v>3.2205072790606126E-06</v>
      </c>
      <c r="R348" s="4">
        <v>0</v>
      </c>
      <c r="S348" s="4">
        <v>0</v>
      </c>
      <c r="T348" s="4">
        <v>0</v>
      </c>
      <c r="U348" s="4">
        <v>0</v>
      </c>
      <c r="V348" s="17">
        <v>0.01652346671501149</v>
      </c>
      <c r="W348" s="17">
        <v>0.016528382914274588</v>
      </c>
      <c r="X348" s="18">
        <v>3.9998686652544504</v>
      </c>
      <c r="Y348" s="18"/>
      <c r="Z348" s="19">
        <v>5.6556405099902126E-14</v>
      </c>
      <c r="AA348" s="4">
        <v>0</v>
      </c>
      <c r="AB348" s="19">
        <v>0</v>
      </c>
      <c r="AC348" s="4">
        <v>0</v>
      </c>
      <c r="AD348" s="4">
        <v>0</v>
      </c>
      <c r="AE348" s="4">
        <v>0</v>
      </c>
      <c r="AF348" s="4">
        <v>0</v>
      </c>
      <c r="AG348" s="4">
        <v>0</v>
      </c>
      <c r="AH348" s="19">
        <v>0</v>
      </c>
      <c r="AI348" s="17">
        <v>6.542011318260584E-12</v>
      </c>
      <c r="AJ348" s="4">
        <v>2.6821363101345047E-11</v>
      </c>
      <c r="AK348" s="4">
        <v>0</v>
      </c>
      <c r="AL348" s="4">
        <v>0</v>
      </c>
      <c r="AM348" s="4">
        <v>0</v>
      </c>
      <c r="AN348" s="4">
        <v>0</v>
      </c>
      <c r="AO348" s="4">
        <v>0.0037136264336867487</v>
      </c>
      <c r="AP348" s="6">
        <v>0.0037136264671066795</v>
      </c>
      <c r="AQ348">
        <v>0.9999015000189241</v>
      </c>
      <c r="AR348">
        <v>1</v>
      </c>
      <c r="AS348">
        <v>3.999474678266617</v>
      </c>
      <c r="AT348">
        <v>3.9998686652544504</v>
      </c>
      <c r="AU348">
        <v>2</v>
      </c>
      <c r="AV348">
        <v>0</v>
      </c>
      <c r="AW348">
        <v>0</v>
      </c>
    </row>
    <row r="349" spans="2:49" ht="13.5" thickBot="1">
      <c r="B349" s="12" t="s">
        <v>21</v>
      </c>
      <c r="C349">
        <v>10</v>
      </c>
      <c r="G349" s="19">
        <v>6.553046228361783E-08</v>
      </c>
      <c r="H349" s="4">
        <v>0</v>
      </c>
      <c r="I349" s="4">
        <v>0</v>
      </c>
      <c r="J349" s="4">
        <v>0</v>
      </c>
      <c r="K349" s="4">
        <v>0</v>
      </c>
      <c r="L349" s="4">
        <v>0</v>
      </c>
      <c r="M349" s="4">
        <v>0</v>
      </c>
      <c r="N349" s="27">
        <v>0</v>
      </c>
      <c r="O349" s="4">
        <v>0</v>
      </c>
      <c r="P349" s="4">
        <v>2.2262760754642345E-06</v>
      </c>
      <c r="Q349" s="4">
        <v>2.321462288697234E-06</v>
      </c>
      <c r="R349" s="4">
        <v>0</v>
      </c>
      <c r="S349" s="4">
        <v>0</v>
      </c>
      <c r="T349" s="4">
        <v>0</v>
      </c>
      <c r="U349" s="4">
        <v>0</v>
      </c>
      <c r="V349" s="17">
        <v>0.022922597144954288</v>
      </c>
      <c r="W349" s="17">
        <v>0.022927210413780732</v>
      </c>
      <c r="X349" s="18">
        <v>5.548384920134937</v>
      </c>
      <c r="Y349" s="18"/>
      <c r="Z349" s="19">
        <v>2.9387083880164704E-14</v>
      </c>
      <c r="AA349" s="4">
        <v>0</v>
      </c>
      <c r="AB349" s="19">
        <v>0</v>
      </c>
      <c r="AC349" s="4">
        <v>0</v>
      </c>
      <c r="AD349" s="4">
        <v>0</v>
      </c>
      <c r="AE349" s="4">
        <v>0</v>
      </c>
      <c r="AF349" s="4">
        <v>0</v>
      </c>
      <c r="AG349" s="4">
        <v>0</v>
      </c>
      <c r="AH349" s="19">
        <v>0</v>
      </c>
      <c r="AI349" s="17">
        <v>1.2590314976213854E-11</v>
      </c>
      <c r="AJ349" s="4">
        <v>1.3936558482585474E-11</v>
      </c>
      <c r="AK349" s="4">
        <v>0</v>
      </c>
      <c r="AL349" s="4">
        <v>0</v>
      </c>
      <c r="AM349" s="4">
        <v>0</v>
      </c>
      <c r="AN349" s="4">
        <v>0</v>
      </c>
      <c r="AO349" s="4">
        <v>0.007146995660738403</v>
      </c>
      <c r="AP349" s="6">
        <v>0.007146995687294664</v>
      </c>
      <c r="AQ349">
        <v>3.5716478046371893</v>
      </c>
      <c r="AR349">
        <v>0</v>
      </c>
      <c r="AS349">
        <v>19.816876819282033</v>
      </c>
      <c r="AT349">
        <v>0</v>
      </c>
      <c r="AU349">
        <v>0</v>
      </c>
      <c r="AV349">
        <v>3.5716478046371893</v>
      </c>
      <c r="AW349">
        <v>1</v>
      </c>
    </row>
    <row r="350" spans="3:50" ht="12.75">
      <c r="C350" s="2">
        <v>242</v>
      </c>
      <c r="D350" s="2">
        <v>0</v>
      </c>
      <c r="E350" s="2">
        <v>0</v>
      </c>
      <c r="F350" s="2">
        <v>0</v>
      </c>
      <c r="G350" s="33">
        <v>0.14612683261176274</v>
      </c>
      <c r="H350" s="2">
        <v>0</v>
      </c>
      <c r="I350" s="2">
        <v>0</v>
      </c>
      <c r="J350" s="2">
        <v>0</v>
      </c>
      <c r="K350" s="2">
        <v>0</v>
      </c>
      <c r="L350" s="2">
        <v>0</v>
      </c>
      <c r="M350" s="2">
        <v>0</v>
      </c>
      <c r="N350" s="29">
        <v>0</v>
      </c>
      <c r="O350" s="2">
        <v>0</v>
      </c>
      <c r="P350" s="2">
        <v>0.39366014063572613</v>
      </c>
      <c r="Q350" s="2">
        <v>0.38669425917291533</v>
      </c>
      <c r="R350" s="2">
        <v>0</v>
      </c>
      <c r="S350" s="2">
        <v>0</v>
      </c>
      <c r="T350" s="2">
        <v>0</v>
      </c>
      <c r="U350" s="2">
        <v>0</v>
      </c>
      <c r="V350" s="32">
        <v>0.07351976757959572</v>
      </c>
      <c r="W350" s="32">
        <v>1.000001</v>
      </c>
      <c r="X350" s="32">
        <v>242.00024199999996</v>
      </c>
      <c r="Y350" s="32"/>
      <c r="Z350" s="33">
        <v>0.03192175111728062</v>
      </c>
      <c r="AA350" s="2">
        <v>0</v>
      </c>
      <c r="AB350" s="2">
        <v>0</v>
      </c>
      <c r="AC350" s="2">
        <v>0</v>
      </c>
      <c r="AD350" s="2">
        <v>0</v>
      </c>
      <c r="AE350" s="2">
        <v>0</v>
      </c>
      <c r="AF350" s="2">
        <v>0</v>
      </c>
      <c r="AG350" s="2">
        <v>0</v>
      </c>
      <c r="AH350" s="2">
        <v>0</v>
      </c>
      <c r="AI350" s="2">
        <v>0.08599598588134859</v>
      </c>
      <c r="AJ350" s="2">
        <v>0.08447427265186178</v>
      </c>
      <c r="AK350" s="2">
        <v>0</v>
      </c>
      <c r="AL350" s="2">
        <v>0</v>
      </c>
      <c r="AM350" s="2">
        <v>0</v>
      </c>
      <c r="AN350" s="2">
        <v>0</v>
      </c>
      <c r="AO350" s="2">
        <v>0.01606056657035386</v>
      </c>
      <c r="AP350" s="2">
        <v>0.21845257622084482</v>
      </c>
      <c r="AQ350" s="36">
        <v>176.59661891356697</v>
      </c>
      <c r="AR350" s="36">
        <v>7</v>
      </c>
      <c r="AT350">
        <v>12.248912367917159</v>
      </c>
      <c r="AU350">
        <v>16</v>
      </c>
      <c r="AV350" s="36">
        <v>137.18088846720244</v>
      </c>
      <c r="AW350" s="36">
        <v>9</v>
      </c>
      <c r="AX350" t="s">
        <v>64</v>
      </c>
    </row>
    <row r="351" spans="13:48" ht="12.75">
      <c r="M351" s="15"/>
      <c r="N351" s="15"/>
      <c r="AQ351" t="s">
        <v>38</v>
      </c>
      <c r="AU351" s="36">
        <v>1.1487271686602387</v>
      </c>
      <c r="AV351" s="41">
        <v>138.32961563586267</v>
      </c>
    </row>
    <row r="352" spans="5:47" ht="12.75">
      <c r="E352" t="s">
        <v>106</v>
      </c>
      <c r="F352">
        <v>0</v>
      </c>
      <c r="M352" s="15"/>
      <c r="N352" s="15"/>
      <c r="AP352" t="s">
        <v>106</v>
      </c>
      <c r="AU352" t="s">
        <v>61</v>
      </c>
    </row>
    <row r="355" ht="12.75">
      <c r="A355" t="s">
        <v>67</v>
      </c>
    </row>
    <row r="356" ht="12.75">
      <c r="D356" t="s">
        <v>50</v>
      </c>
    </row>
    <row r="357" ht="12.75">
      <c r="D357" s="9" t="s">
        <v>36</v>
      </c>
    </row>
    <row r="358" spans="1:2" ht="12.75">
      <c r="A358" t="s">
        <v>35</v>
      </c>
      <c r="B358" s="1">
        <v>0.1666091443573717</v>
      </c>
    </row>
    <row r="360" ht="12.75">
      <c r="E360" t="s">
        <v>49</v>
      </c>
    </row>
    <row r="361" spans="2:3" ht="12.75">
      <c r="B361" t="s">
        <v>98</v>
      </c>
      <c r="C361" s="1">
        <v>0.050261126869218256</v>
      </c>
    </row>
    <row r="362" spans="2:26" ht="12.75">
      <c r="B362" t="s">
        <v>99</v>
      </c>
      <c r="C362" s="1">
        <v>0.18529959606486984</v>
      </c>
      <c r="Z362" s="21" t="s">
        <v>34</v>
      </c>
    </row>
    <row r="363" spans="2:3" ht="12.75">
      <c r="B363" t="s">
        <v>100</v>
      </c>
      <c r="C363" s="1">
        <v>0.14378997132688615</v>
      </c>
    </row>
    <row r="364" spans="2:42" ht="12.75">
      <c r="B364" t="s">
        <v>5</v>
      </c>
      <c r="C364" s="1">
        <v>0.12828945047494975</v>
      </c>
      <c r="G364" s="21" t="s">
        <v>107</v>
      </c>
      <c r="Z364" s="21" t="s">
        <v>101</v>
      </c>
      <c r="AP364" t="s">
        <v>108</v>
      </c>
    </row>
    <row r="365" spans="23:43" ht="12.75">
      <c r="W365" s="30" t="s">
        <v>22</v>
      </c>
      <c r="X365" s="15" t="s">
        <v>2</v>
      </c>
      <c r="AP365" t="s">
        <v>22</v>
      </c>
      <c r="AQ365" t="s">
        <v>37</v>
      </c>
    </row>
    <row r="366" spans="5:52" ht="12.75">
      <c r="E366" s="2"/>
      <c r="F366" s="2"/>
      <c r="G366" s="37">
        <v>0.08787970352033841</v>
      </c>
      <c r="H366" s="5">
        <v>0</v>
      </c>
      <c r="I366" s="5">
        <v>0</v>
      </c>
      <c r="J366" s="5">
        <v>0</v>
      </c>
      <c r="K366" s="5">
        <v>0</v>
      </c>
      <c r="L366" s="5">
        <v>0</v>
      </c>
      <c r="M366" s="5">
        <v>0</v>
      </c>
      <c r="N366" s="25">
        <v>0</v>
      </c>
      <c r="O366" s="38">
        <v>0.6533311332541144</v>
      </c>
      <c r="P366" s="38">
        <v>0.02990167185797643</v>
      </c>
      <c r="Q366" s="38">
        <v>0.15560722533251406</v>
      </c>
      <c r="R366" s="38">
        <v>0</v>
      </c>
      <c r="S366" s="5">
        <v>0</v>
      </c>
      <c r="T366" s="5">
        <v>0</v>
      </c>
      <c r="U366" s="5">
        <v>0</v>
      </c>
      <c r="V366" s="39">
        <v>0.0732792660350569</v>
      </c>
      <c r="W366" s="17">
        <v>0.9999990000000001</v>
      </c>
      <c r="X366" s="15" t="s">
        <v>97</v>
      </c>
      <c r="Z366" s="34">
        <v>0.08787970352033841</v>
      </c>
      <c r="AA366" s="8">
        <v>0</v>
      </c>
      <c r="AB366" s="8">
        <v>0</v>
      </c>
      <c r="AC366" s="8">
        <v>0</v>
      </c>
      <c r="AD366" s="8">
        <v>0</v>
      </c>
      <c r="AE366" s="8">
        <v>0</v>
      </c>
      <c r="AF366" s="8">
        <v>0</v>
      </c>
      <c r="AG366" s="8">
        <v>0</v>
      </c>
      <c r="AH366" s="34">
        <v>0.6533311332541144</v>
      </c>
      <c r="AI366" s="35">
        <v>0.02990167185797643</v>
      </c>
      <c r="AJ366" s="8">
        <v>0.15560722533251406</v>
      </c>
      <c r="AK366" s="8">
        <v>0</v>
      </c>
      <c r="AL366" s="8">
        <v>0</v>
      </c>
      <c r="AM366" s="8">
        <v>0</v>
      </c>
      <c r="AN366" s="8">
        <v>0</v>
      </c>
      <c r="AO366" s="8">
        <v>0.0732792660350569</v>
      </c>
      <c r="AP366" s="6">
        <v>0.9999990000000001</v>
      </c>
      <c r="AX366" s="53" t="s">
        <v>90</v>
      </c>
      <c r="AY366" s="53" t="s">
        <v>91</v>
      </c>
      <c r="AZ366" s="53"/>
    </row>
    <row r="367" spans="2:52" ht="12.75">
      <c r="B367" t="s">
        <v>1</v>
      </c>
      <c r="C367" t="s">
        <v>102</v>
      </c>
      <c r="D367" t="s">
        <v>103</v>
      </c>
      <c r="E367" t="s">
        <v>104</v>
      </c>
      <c r="F367" t="s">
        <v>105</v>
      </c>
      <c r="G367" s="23" t="s">
        <v>6</v>
      </c>
      <c r="H367" s="7" t="s">
        <v>8</v>
      </c>
      <c r="I367" s="7" t="s">
        <v>9</v>
      </c>
      <c r="J367" s="7" t="s">
        <v>10</v>
      </c>
      <c r="K367" s="7" t="s">
        <v>11</v>
      </c>
      <c r="L367" s="7" t="s">
        <v>12</v>
      </c>
      <c r="M367" s="7" t="s">
        <v>13</v>
      </c>
      <c r="N367" s="26" t="s">
        <v>14</v>
      </c>
      <c r="O367" s="7" t="s">
        <v>7</v>
      </c>
      <c r="P367" s="7" t="s">
        <v>15</v>
      </c>
      <c r="Q367" s="7" t="s">
        <v>16</v>
      </c>
      <c r="R367" s="7" t="s">
        <v>17</v>
      </c>
      <c r="S367" s="7" t="s">
        <v>18</v>
      </c>
      <c r="T367" s="7" t="s">
        <v>19</v>
      </c>
      <c r="U367" s="7" t="s">
        <v>20</v>
      </c>
      <c r="V367" s="31" t="s">
        <v>21</v>
      </c>
      <c r="W367" s="31"/>
      <c r="Z367" s="23" t="s">
        <v>6</v>
      </c>
      <c r="AA367" s="7" t="s">
        <v>8</v>
      </c>
      <c r="AB367" s="7" t="s">
        <v>9</v>
      </c>
      <c r="AC367" s="7" t="s">
        <v>10</v>
      </c>
      <c r="AD367" s="7" t="s">
        <v>11</v>
      </c>
      <c r="AE367" s="7" t="s">
        <v>12</v>
      </c>
      <c r="AF367" s="7" t="s">
        <v>13</v>
      </c>
      <c r="AG367" s="26" t="s">
        <v>14</v>
      </c>
      <c r="AH367" s="7" t="s">
        <v>7</v>
      </c>
      <c r="AI367" s="7" t="s">
        <v>15</v>
      </c>
      <c r="AJ367" s="7" t="s">
        <v>16</v>
      </c>
      <c r="AK367" s="7" t="s">
        <v>17</v>
      </c>
      <c r="AL367" s="7" t="s">
        <v>18</v>
      </c>
      <c r="AM367" s="7" t="s">
        <v>19</v>
      </c>
      <c r="AN367" s="7" t="s">
        <v>20</v>
      </c>
      <c r="AO367" s="31" t="s">
        <v>21</v>
      </c>
      <c r="AP367" s="6"/>
      <c r="AR367" t="s">
        <v>65</v>
      </c>
      <c r="AS367" t="s">
        <v>59</v>
      </c>
      <c r="AT367" t="s">
        <v>60</v>
      </c>
      <c r="AU367" t="s">
        <v>62</v>
      </c>
      <c r="AW367" t="s">
        <v>63</v>
      </c>
      <c r="AX367" s="53"/>
      <c r="AY367" s="53"/>
      <c r="AZ367" s="53"/>
    </row>
    <row r="368" spans="2:52" ht="12.75">
      <c r="B368" s="16" t="s">
        <v>6</v>
      </c>
      <c r="C368">
        <v>27</v>
      </c>
      <c r="G368" s="19">
        <v>0.05075085242202608</v>
      </c>
      <c r="H368" s="4">
        <v>0</v>
      </c>
      <c r="I368" s="4">
        <v>0</v>
      </c>
      <c r="J368" s="4">
        <v>0</v>
      </c>
      <c r="K368" s="4">
        <v>0</v>
      </c>
      <c r="L368" s="4">
        <v>0</v>
      </c>
      <c r="M368" s="4">
        <v>0</v>
      </c>
      <c r="N368" s="27">
        <v>0</v>
      </c>
      <c r="O368" s="4">
        <v>0.05552732540005254</v>
      </c>
      <c r="P368" s="4">
        <v>0.00042679287344328173</v>
      </c>
      <c r="Q368" s="4">
        <v>0.0030080129440517504</v>
      </c>
      <c r="R368" s="4">
        <v>0</v>
      </c>
      <c r="S368" s="4">
        <v>0</v>
      </c>
      <c r="T368" s="4">
        <v>0</v>
      </c>
      <c r="U368" s="4">
        <v>0</v>
      </c>
      <c r="V368" s="17">
        <v>1.258946708525746E-05</v>
      </c>
      <c r="W368" s="17">
        <v>0.10972557310665891</v>
      </c>
      <c r="X368" s="18">
        <v>26.553588691811456</v>
      </c>
      <c r="Y368" s="18"/>
      <c r="Z368" s="19">
        <v>0.02930880417645214</v>
      </c>
      <c r="AA368" s="4">
        <v>0</v>
      </c>
      <c r="AB368" s="4">
        <v>0</v>
      </c>
      <c r="AC368" s="4">
        <v>0</v>
      </c>
      <c r="AD368" s="4">
        <v>0</v>
      </c>
      <c r="AE368" s="4">
        <v>0</v>
      </c>
      <c r="AF368" s="4">
        <v>0</v>
      </c>
      <c r="AG368" s="4">
        <v>0</v>
      </c>
      <c r="AH368" s="19">
        <v>0.004719327932110149</v>
      </c>
      <c r="AI368" s="17">
        <v>6.0917047610962605E-06</v>
      </c>
      <c r="AJ368" s="4">
        <v>5.814731194035547E-05</v>
      </c>
      <c r="AK368" s="4">
        <v>0</v>
      </c>
      <c r="AL368" s="4">
        <v>0</v>
      </c>
      <c r="AM368" s="4">
        <v>0</v>
      </c>
      <c r="AN368" s="4">
        <v>0</v>
      </c>
      <c r="AO368" s="4">
        <v>2.1628857665544426E-09</v>
      </c>
      <c r="AP368" s="6">
        <v>0.034092373288149506</v>
      </c>
      <c r="AQ368">
        <v>0.00750493872566694</v>
      </c>
      <c r="AR368">
        <v>0</v>
      </c>
      <c r="AS368">
        <v>0.19928305607860752</v>
      </c>
      <c r="AT368">
        <v>0</v>
      </c>
      <c r="AU368">
        <v>0</v>
      </c>
      <c r="AV368">
        <v>0.00750493872566694</v>
      </c>
      <c r="AW368">
        <v>1</v>
      </c>
      <c r="AX368" s="53">
        <f>100*(C372+C373+C374+C375+C380+C381+C382+C383)/C384</f>
        <v>10.743801652892563</v>
      </c>
      <c r="AY368" s="53">
        <f>100*(X372+X373+X374+X375+X380+X381+X382+X383)/X384</f>
        <v>11.617426184326773</v>
      </c>
      <c r="AZ368" s="53" t="s">
        <v>93</v>
      </c>
    </row>
    <row r="369" spans="2:52" ht="12.75">
      <c r="B369" s="16" t="s">
        <v>8</v>
      </c>
      <c r="C369">
        <v>5</v>
      </c>
      <c r="G369" s="19">
        <v>0.008522983111850709</v>
      </c>
      <c r="H369" s="4">
        <v>0</v>
      </c>
      <c r="I369" s="4">
        <v>0</v>
      </c>
      <c r="J369" s="4">
        <v>0</v>
      </c>
      <c r="K369" s="4">
        <v>0</v>
      </c>
      <c r="L369" s="4">
        <v>0</v>
      </c>
      <c r="M369" s="4">
        <v>0</v>
      </c>
      <c r="N369" s="27">
        <v>0</v>
      </c>
      <c r="O369" s="4">
        <v>0.009325133156295334</v>
      </c>
      <c r="P369" s="4">
        <v>0.002541375695649959</v>
      </c>
      <c r="Q369" s="4">
        <v>0.0005051588751493509</v>
      </c>
      <c r="R369" s="4">
        <v>0</v>
      </c>
      <c r="S369" s="4">
        <v>0</v>
      </c>
      <c r="T369" s="4">
        <v>0</v>
      </c>
      <c r="U369" s="4">
        <v>0</v>
      </c>
      <c r="V369" s="17">
        <v>7.49650888346202E-05</v>
      </c>
      <c r="W369" s="17">
        <v>0.020969615927779975</v>
      </c>
      <c r="X369" s="18">
        <v>5.074647054522754</v>
      </c>
      <c r="Y369" s="18"/>
      <c r="Z369" s="19">
        <v>0.0008265986139573251</v>
      </c>
      <c r="AA369" s="4">
        <v>0</v>
      </c>
      <c r="AB369" s="4">
        <v>0</v>
      </c>
      <c r="AC369" s="4">
        <v>0</v>
      </c>
      <c r="AD369" s="4">
        <v>0</v>
      </c>
      <c r="AE369" s="4">
        <v>0</v>
      </c>
      <c r="AF369" s="4">
        <v>0</v>
      </c>
      <c r="AG369" s="4">
        <v>0</v>
      </c>
      <c r="AH369" s="19">
        <v>0.0001330995936922786</v>
      </c>
      <c r="AI369" s="17">
        <v>0.00021599429146024315</v>
      </c>
      <c r="AJ369" s="4">
        <v>1.6399334195237823E-06</v>
      </c>
      <c r="AK369" s="4">
        <v>0</v>
      </c>
      <c r="AL369" s="4">
        <v>0</v>
      </c>
      <c r="AM369" s="4">
        <v>0</v>
      </c>
      <c r="AN369" s="4">
        <v>0</v>
      </c>
      <c r="AO369" s="4">
        <v>7.668969475341081E-08</v>
      </c>
      <c r="AP369" s="6">
        <v>0.0011774091222241242</v>
      </c>
      <c r="AQ369">
        <v>0.0010980434085473645</v>
      </c>
      <c r="AR369">
        <v>0</v>
      </c>
      <c r="AS369">
        <v>0.005572182748923008</v>
      </c>
      <c r="AT369">
        <v>0</v>
      </c>
      <c r="AU369">
        <v>0</v>
      </c>
      <c r="AV369">
        <v>0.0010980434085473645</v>
      </c>
      <c r="AW369">
        <v>1</v>
      </c>
      <c r="AX369" s="53">
        <f>100*(C370+C371+C374+C375+C378+C379+C382+C383)/C384</f>
        <v>33.47107438016529</v>
      </c>
      <c r="AY369" s="53">
        <f>100*(X370+X371+X374+X375+X378+X379+X382+X383)/X384</f>
        <v>32.93610827036951</v>
      </c>
      <c r="AZ369" s="53" t="s">
        <v>94</v>
      </c>
    </row>
    <row r="370" spans="2:52" ht="12.75">
      <c r="B370" s="16" t="s">
        <v>9</v>
      </c>
      <c r="C370">
        <v>8</v>
      </c>
      <c r="G370" s="19">
        <v>0.011543031534446187</v>
      </c>
      <c r="H370" s="4">
        <v>0</v>
      </c>
      <c r="I370" s="4">
        <v>0</v>
      </c>
      <c r="J370" s="4">
        <v>0</v>
      </c>
      <c r="K370" s="4">
        <v>0</v>
      </c>
      <c r="L370" s="4">
        <v>0</v>
      </c>
      <c r="M370" s="4">
        <v>0</v>
      </c>
      <c r="N370" s="27">
        <v>0</v>
      </c>
      <c r="O370" s="4">
        <v>0.012629416798486809</v>
      </c>
      <c r="P370" s="4">
        <v>9.707193794235832E-05</v>
      </c>
      <c r="Q370" s="4">
        <v>0.013225227753346764</v>
      </c>
      <c r="R370" s="4">
        <v>0</v>
      </c>
      <c r="S370" s="4">
        <v>0</v>
      </c>
      <c r="T370" s="4">
        <v>0</v>
      </c>
      <c r="U370" s="4">
        <v>0</v>
      </c>
      <c r="V370" s="17">
        <v>5.535167986063295E-05</v>
      </c>
      <c r="W370" s="17">
        <v>0.037550099704082754</v>
      </c>
      <c r="X370" s="18">
        <v>9.087124128388027</v>
      </c>
      <c r="Y370" s="18"/>
      <c r="Z370" s="19">
        <v>0.0015161814579219917</v>
      </c>
      <c r="AA370" s="4">
        <v>0</v>
      </c>
      <c r="AB370" s="4">
        <v>0</v>
      </c>
      <c r="AC370" s="4">
        <v>0</v>
      </c>
      <c r="AD370" s="4">
        <v>0</v>
      </c>
      <c r="AE370" s="4">
        <v>0</v>
      </c>
      <c r="AF370" s="4">
        <v>0</v>
      </c>
      <c r="AG370" s="4">
        <v>0</v>
      </c>
      <c r="AH370" s="19">
        <v>0.0002441367945768201</v>
      </c>
      <c r="AI370" s="17">
        <v>3.1513158129221595E-07</v>
      </c>
      <c r="AJ370" s="4">
        <v>0.0011240265273938204</v>
      </c>
      <c r="AK370" s="4">
        <v>0</v>
      </c>
      <c r="AL370" s="4">
        <v>0</v>
      </c>
      <c r="AM370" s="4">
        <v>0</v>
      </c>
      <c r="AN370" s="4">
        <v>0</v>
      </c>
      <c r="AO370" s="4">
        <v>4.181003207548872E-08</v>
      </c>
      <c r="AP370" s="6">
        <v>0.002884701721506</v>
      </c>
      <c r="AQ370">
        <v>0.13005642421361688</v>
      </c>
      <c r="AR370">
        <v>0</v>
      </c>
      <c r="AS370">
        <v>1.1818388705234266</v>
      </c>
      <c r="AT370">
        <v>0</v>
      </c>
      <c r="AU370">
        <v>0</v>
      </c>
      <c r="AV370">
        <v>0.13005642421361688</v>
      </c>
      <c r="AW370">
        <v>1</v>
      </c>
      <c r="AX370" s="53">
        <f>100*(C369+C371+C373+C375+C377+C379+C381+C383)/C384</f>
        <v>22.31404958677686</v>
      </c>
      <c r="AY370" s="53">
        <f>100*(X369+X371+X373+X375+X377+X379+X381+X383)/X384</f>
        <v>21.729821452592173</v>
      </c>
      <c r="AZ370" s="53" t="s">
        <v>95</v>
      </c>
    </row>
    <row r="371" spans="2:52" ht="12.75">
      <c r="B371" s="16" t="s">
        <v>10</v>
      </c>
      <c r="C371">
        <v>4</v>
      </c>
      <c r="G371" s="19">
        <v>0.0019385105497252148</v>
      </c>
      <c r="H371" s="4">
        <v>0</v>
      </c>
      <c r="I371" s="4">
        <v>0</v>
      </c>
      <c r="J371" s="4">
        <v>0</v>
      </c>
      <c r="K371" s="4">
        <v>0</v>
      </c>
      <c r="L371" s="4">
        <v>0</v>
      </c>
      <c r="M371" s="4">
        <v>0</v>
      </c>
      <c r="N371" s="27">
        <v>0</v>
      </c>
      <c r="O371" s="4">
        <v>0.0021209556283100063</v>
      </c>
      <c r="P371" s="4">
        <v>0.0005780233906579862</v>
      </c>
      <c r="Q371" s="4">
        <v>0.0022210147694629364</v>
      </c>
      <c r="R371" s="4">
        <v>0</v>
      </c>
      <c r="S371" s="4">
        <v>0</v>
      </c>
      <c r="T371" s="4">
        <v>0</v>
      </c>
      <c r="U371" s="4">
        <v>0</v>
      </c>
      <c r="V371" s="17">
        <v>0.0003295964451709713</v>
      </c>
      <c r="W371" s="17">
        <v>0.007188100783327115</v>
      </c>
      <c r="X371" s="18">
        <v>1.7395203895651619</v>
      </c>
      <c r="Y371" s="18"/>
      <c r="Z371" s="19">
        <v>4.276099031815991E-05</v>
      </c>
      <c r="AA371" s="4">
        <v>0</v>
      </c>
      <c r="AB371" s="4">
        <v>0</v>
      </c>
      <c r="AC371" s="4">
        <v>0</v>
      </c>
      <c r="AD371" s="4">
        <v>0</v>
      </c>
      <c r="AE371" s="4">
        <v>0</v>
      </c>
      <c r="AF371" s="4">
        <v>0</v>
      </c>
      <c r="AG371" s="4">
        <v>0</v>
      </c>
      <c r="AH371" s="19">
        <v>6.885410090368696E-06</v>
      </c>
      <c r="AI371" s="17">
        <v>1.1173657504325433E-05</v>
      </c>
      <c r="AJ371" s="4">
        <v>3.1701012569509344E-05</v>
      </c>
      <c r="AK371" s="4">
        <v>0</v>
      </c>
      <c r="AL371" s="4">
        <v>0</v>
      </c>
      <c r="AM371" s="4">
        <v>0</v>
      </c>
      <c r="AN371" s="4">
        <v>0</v>
      </c>
      <c r="AO371" s="4">
        <v>1.4824632197785733E-06</v>
      </c>
      <c r="AP371" s="6">
        <v>9.400353370214196E-05</v>
      </c>
      <c r="AQ371">
        <v>2.9374579912046648</v>
      </c>
      <c r="AR371">
        <v>1</v>
      </c>
      <c r="AS371">
        <v>5.109768069191636</v>
      </c>
      <c r="AT371">
        <v>1.7395203895651619</v>
      </c>
      <c r="AU371">
        <v>4</v>
      </c>
      <c r="AV371">
        <v>0</v>
      </c>
      <c r="AW371">
        <v>0</v>
      </c>
      <c r="AX371" s="53">
        <f>100*(C376+C377+C378+C379+C380+C381+C382+C383)/C384</f>
        <v>78.51239669421487</v>
      </c>
      <c r="AY371" s="53">
        <f>100*(X376+X377+X378+X379+X380+X381+X382+X383)/X384</f>
        <v>80.63788584180722</v>
      </c>
      <c r="AZ371" s="53" t="s">
        <v>96</v>
      </c>
    </row>
    <row r="372" spans="2:49" ht="12.75">
      <c r="B372" s="3" t="s">
        <v>11</v>
      </c>
      <c r="C372">
        <v>0</v>
      </c>
      <c r="G372" s="19">
        <v>0.0026857856453698864</v>
      </c>
      <c r="H372" s="4">
        <v>0</v>
      </c>
      <c r="I372" s="4">
        <v>0</v>
      </c>
      <c r="J372" s="4">
        <v>0</v>
      </c>
      <c r="K372" s="4">
        <v>0</v>
      </c>
      <c r="L372" s="4">
        <v>0</v>
      </c>
      <c r="M372" s="4">
        <v>0</v>
      </c>
      <c r="N372" s="27">
        <v>0</v>
      </c>
      <c r="O372" s="4">
        <v>0.002938561351543306</v>
      </c>
      <c r="P372" s="4">
        <v>2.2586303841916257E-05</v>
      </c>
      <c r="Q372" s="4">
        <v>0.00015918704023018017</v>
      </c>
      <c r="R372" s="4">
        <v>0</v>
      </c>
      <c r="S372" s="4">
        <v>0</v>
      </c>
      <c r="T372" s="4">
        <v>0</v>
      </c>
      <c r="U372" s="4">
        <v>0</v>
      </c>
      <c r="V372" s="17">
        <v>0.0002378917272185596</v>
      </c>
      <c r="W372" s="17">
        <v>0.006044012068203848</v>
      </c>
      <c r="X372" s="18">
        <v>1.462650920505331</v>
      </c>
      <c r="Y372" s="18"/>
      <c r="Z372" s="19">
        <v>8.208316873992976E-05</v>
      </c>
      <c r="AA372" s="4">
        <v>0</v>
      </c>
      <c r="AB372" s="4">
        <v>0</v>
      </c>
      <c r="AC372" s="4">
        <v>0</v>
      </c>
      <c r="AD372" s="4">
        <v>0</v>
      </c>
      <c r="AE372" s="4">
        <v>0</v>
      </c>
      <c r="AF372" s="4">
        <v>0</v>
      </c>
      <c r="AG372" s="4">
        <v>0</v>
      </c>
      <c r="AH372" s="19">
        <v>1.3217099839975579E-05</v>
      </c>
      <c r="AI372" s="17">
        <v>1.706062201680132E-08</v>
      </c>
      <c r="AJ372" s="4">
        <v>1.628492103955671E-07</v>
      </c>
      <c r="AK372" s="4">
        <v>0</v>
      </c>
      <c r="AL372" s="4">
        <v>0</v>
      </c>
      <c r="AM372" s="4">
        <v>0</v>
      </c>
      <c r="AN372" s="4">
        <v>0</v>
      </c>
      <c r="AO372" s="4">
        <v>7.722849441744634E-07</v>
      </c>
      <c r="AP372" s="6">
        <v>9.625246335649219E-05</v>
      </c>
      <c r="AQ372">
        <v>1.462650920505331</v>
      </c>
      <c r="AR372">
        <v>1</v>
      </c>
      <c r="AS372">
        <v>2.1393477152550924</v>
      </c>
      <c r="AT372">
        <v>1.462650920505331</v>
      </c>
      <c r="AU372">
        <v>0</v>
      </c>
      <c r="AV372">
        <v>0</v>
      </c>
      <c r="AW372">
        <v>0</v>
      </c>
    </row>
    <row r="373" spans="1:50" ht="12.75">
      <c r="A373" s="15"/>
      <c r="B373" s="16" t="s">
        <v>12</v>
      </c>
      <c r="C373">
        <v>3</v>
      </c>
      <c r="G373" s="19">
        <v>0.00045104475304544545</v>
      </c>
      <c r="H373" s="17">
        <v>0</v>
      </c>
      <c r="I373" s="17">
        <v>0</v>
      </c>
      <c r="J373" s="17">
        <v>0</v>
      </c>
      <c r="K373" s="17">
        <v>0</v>
      </c>
      <c r="L373" s="17">
        <v>0</v>
      </c>
      <c r="M373" s="17">
        <v>0</v>
      </c>
      <c r="N373" s="27">
        <v>0</v>
      </c>
      <c r="O373" s="17">
        <v>0.0004934953321389143</v>
      </c>
      <c r="P373" s="17">
        <v>0.00013449213239039576</v>
      </c>
      <c r="Q373" s="17">
        <v>2.673351068520163E-05</v>
      </c>
      <c r="R373" s="17">
        <v>0</v>
      </c>
      <c r="S373" s="17">
        <v>0</v>
      </c>
      <c r="T373" s="17">
        <v>0</v>
      </c>
      <c r="U373" s="17">
        <v>0</v>
      </c>
      <c r="V373" s="17">
        <v>0.0014165472091224626</v>
      </c>
      <c r="W373" s="17">
        <v>0.0025223129373824196</v>
      </c>
      <c r="X373" s="18">
        <v>0.6103997308465455</v>
      </c>
      <c r="Y373" s="18"/>
      <c r="Z373" s="19">
        <v>2.314998356847477E-06</v>
      </c>
      <c r="AA373" s="4">
        <v>0</v>
      </c>
      <c r="AB373" s="4">
        <v>0</v>
      </c>
      <c r="AC373" s="17">
        <v>0</v>
      </c>
      <c r="AD373" s="17">
        <v>0</v>
      </c>
      <c r="AE373" s="17">
        <v>0</v>
      </c>
      <c r="AF373" s="17">
        <v>0</v>
      </c>
      <c r="AG373" s="17">
        <v>0</v>
      </c>
      <c r="AH373" s="19">
        <v>3.727629534963137E-07</v>
      </c>
      <c r="AI373" s="17">
        <v>6.04920479390875E-07</v>
      </c>
      <c r="AJ373" s="17">
        <v>4.592849670242513E-09</v>
      </c>
      <c r="AK373" s="17">
        <v>0</v>
      </c>
      <c r="AL373" s="17">
        <v>0</v>
      </c>
      <c r="AM373" s="17">
        <v>0</v>
      </c>
      <c r="AN373" s="17">
        <v>0</v>
      </c>
      <c r="AO373" s="17">
        <v>2.7382998005365872E-05</v>
      </c>
      <c r="AP373" s="6">
        <v>3.068027264477078E-05</v>
      </c>
      <c r="AQ373">
        <v>9.35483611439174</v>
      </c>
      <c r="AR373">
        <v>1</v>
      </c>
      <c r="AS373">
        <v>5.710189446338261</v>
      </c>
      <c r="AT373">
        <v>0.6103997308465455</v>
      </c>
      <c r="AU373">
        <v>3</v>
      </c>
      <c r="AV373">
        <v>0</v>
      </c>
      <c r="AW373">
        <v>0</v>
      </c>
      <c r="AX373" s="15"/>
    </row>
    <row r="374" spans="1:50" ht="12.75">
      <c r="A374" s="15"/>
      <c r="B374" s="16" t="s">
        <v>13</v>
      </c>
      <c r="C374">
        <v>3</v>
      </c>
      <c r="G374" s="19">
        <v>0.0006108687227844956</v>
      </c>
      <c r="H374" s="17">
        <v>0</v>
      </c>
      <c r="I374" s="17">
        <v>0</v>
      </c>
      <c r="J374" s="17">
        <v>0</v>
      </c>
      <c r="K374" s="17">
        <v>0</v>
      </c>
      <c r="L374" s="17">
        <v>0</v>
      </c>
      <c r="M374" s="17">
        <v>0</v>
      </c>
      <c r="N374" s="27">
        <v>0</v>
      </c>
      <c r="O374" s="17">
        <v>0.0006683613127264007</v>
      </c>
      <c r="P374" s="17">
        <v>5.137143615358691E-06</v>
      </c>
      <c r="Q374" s="17">
        <v>0.0006998922217367584</v>
      </c>
      <c r="R374" s="17">
        <v>0</v>
      </c>
      <c r="S374" s="17">
        <v>0</v>
      </c>
      <c r="T374" s="17">
        <v>0</v>
      </c>
      <c r="U374" s="17">
        <v>0</v>
      </c>
      <c r="V374" s="17">
        <v>0.001045930430360663</v>
      </c>
      <c r="W374" s="17">
        <v>0.0030301898312236762</v>
      </c>
      <c r="X374" s="18">
        <v>0.7333059391561296</v>
      </c>
      <c r="Y374" s="18"/>
      <c r="Z374" s="19">
        <v>4.246265992351678E-06</v>
      </c>
      <c r="AA374" s="4">
        <v>0</v>
      </c>
      <c r="AB374" s="4">
        <v>0</v>
      </c>
      <c r="AC374" s="17">
        <v>0</v>
      </c>
      <c r="AD374" s="17">
        <v>0</v>
      </c>
      <c r="AE374" s="17">
        <v>0</v>
      </c>
      <c r="AF374" s="17">
        <v>0</v>
      </c>
      <c r="AG374" s="17">
        <v>0</v>
      </c>
      <c r="AH374" s="19">
        <v>6.837372683043563E-07</v>
      </c>
      <c r="AI374" s="17">
        <v>8.825675249921126E-10</v>
      </c>
      <c r="AJ374" s="17">
        <v>3.1479844268212266E-06</v>
      </c>
      <c r="AK374" s="17">
        <v>0</v>
      </c>
      <c r="AL374" s="17">
        <v>0</v>
      </c>
      <c r="AM374" s="17">
        <v>0</v>
      </c>
      <c r="AN374" s="17">
        <v>0</v>
      </c>
      <c r="AO374" s="17">
        <v>1.492878578547832E-05</v>
      </c>
      <c r="AP374" s="6">
        <v>2.300765604048057E-05</v>
      </c>
      <c r="AQ374">
        <v>7.0064916852813806</v>
      </c>
      <c r="AR374">
        <v>1</v>
      </c>
      <c r="AS374">
        <v>5.137901965464876</v>
      </c>
      <c r="AT374">
        <v>0.7333059391561296</v>
      </c>
      <c r="AU374">
        <v>3</v>
      </c>
      <c r="AV374">
        <v>0</v>
      </c>
      <c r="AW374">
        <v>0</v>
      </c>
      <c r="AX374" s="15"/>
    </row>
    <row r="375" spans="1:50" ht="13.5" thickBot="1">
      <c r="A375" s="11" t="s">
        <v>4</v>
      </c>
      <c r="B375" s="12" t="s">
        <v>14</v>
      </c>
      <c r="C375">
        <v>2</v>
      </c>
      <c r="G375" s="20">
        <v>0.00010258790856467387</v>
      </c>
      <c r="H375" s="13">
        <v>0</v>
      </c>
      <c r="I375" s="13">
        <v>0</v>
      </c>
      <c r="J375" s="13">
        <v>0</v>
      </c>
      <c r="K375" s="13">
        <v>0</v>
      </c>
      <c r="L375" s="13">
        <v>0</v>
      </c>
      <c r="M375" s="13">
        <v>0</v>
      </c>
      <c r="N375" s="28">
        <v>0</v>
      </c>
      <c r="O375" s="13">
        <v>0.00011224308379319375</v>
      </c>
      <c r="P375" s="13">
        <v>3.058957340081013E-05</v>
      </c>
      <c r="Q375" s="13">
        <v>0.00011753831317696555</v>
      </c>
      <c r="R375" s="13">
        <v>0</v>
      </c>
      <c r="S375" s="13">
        <v>0</v>
      </c>
      <c r="T375" s="13">
        <v>0</v>
      </c>
      <c r="U375" s="13">
        <v>0</v>
      </c>
      <c r="V375" s="13">
        <v>0.006228084723191932</v>
      </c>
      <c r="W375" s="13">
        <v>0.006591043602127575</v>
      </c>
      <c r="X375" s="14">
        <v>1.5950325517148731</v>
      </c>
      <c r="Y375" s="14"/>
      <c r="Z375" s="20">
        <v>1.1975778891013442E-07</v>
      </c>
      <c r="AA375" s="13">
        <v>0</v>
      </c>
      <c r="AB375" s="13">
        <v>0</v>
      </c>
      <c r="AC375" s="13">
        <v>0</v>
      </c>
      <c r="AD375" s="13">
        <v>0</v>
      </c>
      <c r="AE375" s="13">
        <v>0</v>
      </c>
      <c r="AF375" s="13">
        <v>0</v>
      </c>
      <c r="AG375" s="13">
        <v>0</v>
      </c>
      <c r="AH375" s="20">
        <v>1.928349839484184E-08</v>
      </c>
      <c r="AI375" s="13">
        <v>3.1293300431090845E-08</v>
      </c>
      <c r="AJ375" s="13">
        <v>8.878286361680753E-08</v>
      </c>
      <c r="AK375" s="13">
        <v>0</v>
      </c>
      <c r="AL375" s="13">
        <v>0</v>
      </c>
      <c r="AM375" s="13">
        <v>0</v>
      </c>
      <c r="AN375" s="13">
        <v>0</v>
      </c>
      <c r="AO375" s="13">
        <v>0.0005293317116563367</v>
      </c>
      <c r="AP375" s="6">
        <v>0.0005295908291076895</v>
      </c>
      <c r="AQ375">
        <v>0.10281836191634237</v>
      </c>
      <c r="AR375">
        <v>1</v>
      </c>
      <c r="AS375">
        <v>0.1639986341705669</v>
      </c>
      <c r="AT375">
        <v>1.5950325517148731</v>
      </c>
      <c r="AU375">
        <v>2</v>
      </c>
      <c r="AV375">
        <v>0</v>
      </c>
      <c r="AW375">
        <v>0</v>
      </c>
      <c r="AX375" s="11"/>
    </row>
    <row r="376" spans="2:49" ht="12.75">
      <c r="B376" s="3" t="s">
        <v>7</v>
      </c>
      <c r="C376">
        <v>99</v>
      </c>
      <c r="G376" s="19">
        <v>0.007468991825215829</v>
      </c>
      <c r="H376" s="4">
        <v>0</v>
      </c>
      <c r="I376" s="4">
        <v>0</v>
      </c>
      <c r="J376" s="4">
        <v>0</v>
      </c>
      <c r="K376" s="4">
        <v>0</v>
      </c>
      <c r="L376" s="4">
        <v>0</v>
      </c>
      <c r="M376" s="4">
        <v>0</v>
      </c>
      <c r="N376" s="27">
        <v>0</v>
      </c>
      <c r="O376" s="4">
        <v>0.37730113550987243</v>
      </c>
      <c r="P376" s="4">
        <v>0.0029000034598734535</v>
      </c>
      <c r="Q376" s="4">
        <v>0.02043906655403298</v>
      </c>
      <c r="R376" s="4">
        <v>0</v>
      </c>
      <c r="S376" s="4">
        <v>0</v>
      </c>
      <c r="T376" s="4">
        <v>0</v>
      </c>
      <c r="U376" s="4">
        <v>0</v>
      </c>
      <c r="V376" s="17">
        <v>8.554383256369319E-05</v>
      </c>
      <c r="W376" s="17">
        <v>0.4081947411815584</v>
      </c>
      <c r="X376" s="18">
        <v>98.78312736593713</v>
      </c>
      <c r="Y376" s="18"/>
      <c r="Z376" s="19">
        <v>0.0006347977593282401</v>
      </c>
      <c r="AA376" s="4">
        <v>0</v>
      </c>
      <c r="AB376" s="19">
        <v>0</v>
      </c>
      <c r="AC376" s="4">
        <v>0</v>
      </c>
      <c r="AD376" s="4">
        <v>0</v>
      </c>
      <c r="AE376" s="4">
        <v>0</v>
      </c>
      <c r="AF376" s="4">
        <v>0</v>
      </c>
      <c r="AG376" s="4">
        <v>0</v>
      </c>
      <c r="AH376" s="19">
        <v>0.21789279526293356</v>
      </c>
      <c r="AI376" s="17">
        <v>0.00028125584774065345</v>
      </c>
      <c r="AJ376" s="4">
        <v>0.0026846789453863476</v>
      </c>
      <c r="AK376" s="4">
        <v>0</v>
      </c>
      <c r="AL376" s="4">
        <v>0</v>
      </c>
      <c r="AM376" s="4">
        <v>0</v>
      </c>
      <c r="AN376" s="4">
        <v>0</v>
      </c>
      <c r="AO376" s="4">
        <v>9.986108875850854E-08</v>
      </c>
      <c r="AP376" s="6">
        <v>0.22149362767647757</v>
      </c>
      <c r="AQ376">
        <v>0.0004761313056138821</v>
      </c>
      <c r="AR376">
        <v>0</v>
      </c>
      <c r="AS376">
        <v>0.04703373940536605</v>
      </c>
      <c r="AT376">
        <v>0</v>
      </c>
      <c r="AU376">
        <v>0</v>
      </c>
      <c r="AV376">
        <v>0.0004761313056138821</v>
      </c>
      <c r="AW376">
        <v>1</v>
      </c>
    </row>
    <row r="377" spans="2:49" ht="12.75">
      <c r="B377" s="3" t="s">
        <v>15</v>
      </c>
      <c r="C377">
        <v>21</v>
      </c>
      <c r="G377" s="19">
        <v>0.0012543255561405632</v>
      </c>
      <c r="H377" s="4">
        <v>0</v>
      </c>
      <c r="I377" s="4">
        <v>0</v>
      </c>
      <c r="J377" s="4">
        <v>0</v>
      </c>
      <c r="K377" s="4">
        <v>0</v>
      </c>
      <c r="L377" s="4">
        <v>0</v>
      </c>
      <c r="M377" s="4">
        <v>0</v>
      </c>
      <c r="N377" s="27">
        <v>0</v>
      </c>
      <c r="O377" s="4">
        <v>0.06336309741739624</v>
      </c>
      <c r="P377" s="4">
        <v>0.017268325618381288</v>
      </c>
      <c r="Q377" s="4">
        <v>0.0034324905050542847</v>
      </c>
      <c r="R377" s="4">
        <v>0</v>
      </c>
      <c r="S377" s="4">
        <v>0</v>
      </c>
      <c r="T377" s="4">
        <v>0</v>
      </c>
      <c r="U377" s="4">
        <v>0</v>
      </c>
      <c r="V377" s="17">
        <v>0.000509378273437854</v>
      </c>
      <c r="W377" s="17">
        <v>0.08582761737041024</v>
      </c>
      <c r="X377" s="18">
        <v>20.77028340363928</v>
      </c>
      <c r="Y377" s="18"/>
      <c r="Z377" s="19">
        <v>1.7903253399383732E-05</v>
      </c>
      <c r="AA377" s="4">
        <v>0</v>
      </c>
      <c r="AB377" s="19">
        <v>0</v>
      </c>
      <c r="AC377" s="4">
        <v>0</v>
      </c>
      <c r="AD377" s="4">
        <v>0</v>
      </c>
      <c r="AE377" s="4">
        <v>0</v>
      </c>
      <c r="AF377" s="4">
        <v>0</v>
      </c>
      <c r="AG377" s="4">
        <v>0</v>
      </c>
      <c r="AH377" s="19">
        <v>0.006145248419938454</v>
      </c>
      <c r="AI377" s="17">
        <v>0.009972521639551682</v>
      </c>
      <c r="AJ377" s="4">
        <v>7.571622103093934E-05</v>
      </c>
      <c r="AK377" s="4">
        <v>0</v>
      </c>
      <c r="AL377" s="4">
        <v>0</v>
      </c>
      <c r="AM377" s="4">
        <v>0</v>
      </c>
      <c r="AN377" s="4">
        <v>0</v>
      </c>
      <c r="AO377" s="4">
        <v>3.540786357308767E-06</v>
      </c>
      <c r="AP377" s="6">
        <v>0.01621493032027777</v>
      </c>
      <c r="AQ377">
        <v>0.0025406352729066837</v>
      </c>
      <c r="AR377">
        <v>0</v>
      </c>
      <c r="AS377">
        <v>0.05276971464355424</v>
      </c>
      <c r="AT377">
        <v>0</v>
      </c>
      <c r="AU377">
        <v>0</v>
      </c>
      <c r="AV377">
        <v>0.0025406352729066837</v>
      </c>
      <c r="AW377">
        <v>1</v>
      </c>
    </row>
    <row r="378" spans="2:49" ht="12.75">
      <c r="B378" s="3" t="s">
        <v>16</v>
      </c>
      <c r="C378">
        <v>44</v>
      </c>
      <c r="G378" s="19">
        <v>0.0016987854204310764</v>
      </c>
      <c r="H378" s="4">
        <v>0</v>
      </c>
      <c r="I378" s="4">
        <v>0</v>
      </c>
      <c r="J378" s="4">
        <v>0</v>
      </c>
      <c r="K378" s="4">
        <v>0</v>
      </c>
      <c r="L378" s="4">
        <v>0</v>
      </c>
      <c r="M378" s="4">
        <v>0</v>
      </c>
      <c r="N378" s="27">
        <v>0</v>
      </c>
      <c r="O378" s="4">
        <v>0.08581528579966545</v>
      </c>
      <c r="P378" s="4">
        <v>0.0006595915100884908</v>
      </c>
      <c r="Q378" s="4">
        <v>0.08986374569212893</v>
      </c>
      <c r="R378" s="4">
        <v>0</v>
      </c>
      <c r="S378" s="4">
        <v>0</v>
      </c>
      <c r="T378" s="4">
        <v>0</v>
      </c>
      <c r="U378" s="4">
        <v>0</v>
      </c>
      <c r="V378" s="17">
        <v>0.0003761076463404807</v>
      </c>
      <c r="W378" s="17">
        <v>0.1784135160686544</v>
      </c>
      <c r="X378" s="18">
        <v>43.17607088861437</v>
      </c>
      <c r="Y378" s="18"/>
      <c r="Z378" s="19">
        <v>3.2838889858126326E-05</v>
      </c>
      <c r="AA378" s="4">
        <v>0</v>
      </c>
      <c r="AB378" s="19">
        <v>0</v>
      </c>
      <c r="AC378" s="4">
        <v>0</v>
      </c>
      <c r="AD378" s="4">
        <v>0</v>
      </c>
      <c r="AE378" s="4">
        <v>0</v>
      </c>
      <c r="AF378" s="4">
        <v>0</v>
      </c>
      <c r="AG378" s="4">
        <v>0</v>
      </c>
      <c r="AH378" s="19">
        <v>0.011271869503904259</v>
      </c>
      <c r="AI378" s="17">
        <v>1.4549720237959231E-05</v>
      </c>
      <c r="AJ378" s="4">
        <v>0.05189664408296759</v>
      </c>
      <c r="AK378" s="4">
        <v>0</v>
      </c>
      <c r="AL378" s="4">
        <v>0</v>
      </c>
      <c r="AM378" s="4">
        <v>0</v>
      </c>
      <c r="AN378" s="4">
        <v>0</v>
      </c>
      <c r="AO378" s="4">
        <v>1.9303818022427093E-06</v>
      </c>
      <c r="AP378" s="6">
        <v>0.06321783257877017</v>
      </c>
      <c r="AQ378">
        <v>0.01572304210681969</v>
      </c>
      <c r="AR378">
        <v>0</v>
      </c>
      <c r="AS378">
        <v>0.6788591805887156</v>
      </c>
      <c r="AT378">
        <v>0</v>
      </c>
      <c r="AU378">
        <v>0</v>
      </c>
      <c r="AV378">
        <v>0.01572304210681969</v>
      </c>
      <c r="AW378">
        <v>1</v>
      </c>
    </row>
    <row r="379" spans="2:49" ht="12.75">
      <c r="B379" s="3" t="s">
        <v>17</v>
      </c>
      <c r="C379">
        <v>8</v>
      </c>
      <c r="G379" s="19">
        <v>0.0002852901726377397</v>
      </c>
      <c r="H379" s="4">
        <v>0</v>
      </c>
      <c r="I379" s="4">
        <v>0</v>
      </c>
      <c r="J379" s="4">
        <v>0</v>
      </c>
      <c r="K379" s="4">
        <v>0</v>
      </c>
      <c r="L379" s="4">
        <v>0</v>
      </c>
      <c r="M379" s="4">
        <v>0</v>
      </c>
      <c r="N379" s="27">
        <v>0</v>
      </c>
      <c r="O379" s="4">
        <v>0.014411624567940437</v>
      </c>
      <c r="P379" s="4">
        <v>0.003927595649084125</v>
      </c>
      <c r="Q379" s="4">
        <v>0.015091513745082533</v>
      </c>
      <c r="R379" s="4">
        <v>0</v>
      </c>
      <c r="S379" s="4">
        <v>0</v>
      </c>
      <c r="T379" s="4">
        <v>0</v>
      </c>
      <c r="U379" s="4">
        <v>0</v>
      </c>
      <c r="V379" s="17">
        <v>0.0022395660537776812</v>
      </c>
      <c r="W379" s="17">
        <v>0.03595559018852252</v>
      </c>
      <c r="X379" s="18">
        <v>8.70125282562245</v>
      </c>
      <c r="Y379" s="18"/>
      <c r="Z379" s="19">
        <v>9.261579106811024E-07</v>
      </c>
      <c r="AA379" s="4">
        <v>0</v>
      </c>
      <c r="AB379" s="19">
        <v>0</v>
      </c>
      <c r="AC379" s="4">
        <v>0</v>
      </c>
      <c r="AD379" s="4">
        <v>0</v>
      </c>
      <c r="AE379" s="4">
        <v>0</v>
      </c>
      <c r="AF379" s="4">
        <v>0</v>
      </c>
      <c r="AG379" s="4">
        <v>0</v>
      </c>
      <c r="AH379" s="19">
        <v>0.00031790146239132466</v>
      </c>
      <c r="AI379" s="17">
        <v>0.000515891139999571</v>
      </c>
      <c r="AJ379" s="4">
        <v>0.0014636453200121806</v>
      </c>
      <c r="AK379" s="4">
        <v>0</v>
      </c>
      <c r="AL379" s="4">
        <v>0</v>
      </c>
      <c r="AM379" s="4">
        <v>0</v>
      </c>
      <c r="AN379" s="4">
        <v>0</v>
      </c>
      <c r="AO379" s="4">
        <v>6.844577437271053E-05</v>
      </c>
      <c r="AP379" s="6">
        <v>0.0023668098546864675</v>
      </c>
      <c r="AQ379">
        <v>0.05651548521787643</v>
      </c>
      <c r="AR379">
        <v>0</v>
      </c>
      <c r="AS379">
        <v>0.4917555254434711</v>
      </c>
      <c r="AT379">
        <v>0</v>
      </c>
      <c r="AU379">
        <v>0</v>
      </c>
      <c r="AV379">
        <v>0.05651548521787643</v>
      </c>
      <c r="AW379">
        <v>1</v>
      </c>
    </row>
    <row r="380" spans="2:49" ht="12.75">
      <c r="B380" s="3" t="s">
        <v>18</v>
      </c>
      <c r="C380">
        <v>5</v>
      </c>
      <c r="G380" s="19">
        <v>0.0003952664846441778</v>
      </c>
      <c r="H380" s="4">
        <v>0</v>
      </c>
      <c r="I380" s="4">
        <v>0</v>
      </c>
      <c r="J380" s="4">
        <v>0</v>
      </c>
      <c r="K380" s="4">
        <v>0</v>
      </c>
      <c r="L380" s="4">
        <v>0</v>
      </c>
      <c r="M380" s="4">
        <v>0</v>
      </c>
      <c r="N380" s="27">
        <v>0</v>
      </c>
      <c r="O380" s="4">
        <v>0.019967151789048093</v>
      </c>
      <c r="P380" s="4">
        <v>0.00015347107077694642</v>
      </c>
      <c r="Q380" s="4">
        <v>0.0010816557542540288</v>
      </c>
      <c r="R380" s="4">
        <v>0</v>
      </c>
      <c r="S380" s="4">
        <v>0</v>
      </c>
      <c r="T380" s="4">
        <v>0</v>
      </c>
      <c r="U380" s="4">
        <v>0</v>
      </c>
      <c r="V380" s="17">
        <v>0.001616444122984581</v>
      </c>
      <c r="W380" s="17">
        <v>0.023213989221707827</v>
      </c>
      <c r="X380" s="18">
        <v>5.617785391653294</v>
      </c>
      <c r="Y380" s="18"/>
      <c r="Z380" s="19">
        <v>1.777834785785408E-06</v>
      </c>
      <c r="AA380" s="4">
        <v>0</v>
      </c>
      <c r="AB380" s="19">
        <v>0</v>
      </c>
      <c r="AC380" s="4">
        <v>0</v>
      </c>
      <c r="AD380" s="4">
        <v>0</v>
      </c>
      <c r="AE380" s="4">
        <v>0</v>
      </c>
      <c r="AF380" s="4">
        <v>0</v>
      </c>
      <c r="AG380" s="4">
        <v>0</v>
      </c>
      <c r="AH380" s="19">
        <v>0.0006102374894964882</v>
      </c>
      <c r="AI380" s="17">
        <v>7.876940686558804E-07</v>
      </c>
      <c r="AJ380" s="4">
        <v>7.518797203733607E-06</v>
      </c>
      <c r="AK380" s="4">
        <v>0</v>
      </c>
      <c r="AL380" s="4">
        <v>0</v>
      </c>
      <c r="AM380" s="4">
        <v>0</v>
      </c>
      <c r="AN380" s="4">
        <v>0</v>
      </c>
      <c r="AO380" s="4">
        <v>3.5656629004463274E-05</v>
      </c>
      <c r="AP380" s="6">
        <v>0.0006559784445591263</v>
      </c>
      <c r="AQ380">
        <v>0.06793758812988286</v>
      </c>
      <c r="AR380">
        <v>0</v>
      </c>
      <c r="AS380">
        <v>0.3816587901402142</v>
      </c>
      <c r="AT380">
        <v>0</v>
      </c>
      <c r="AU380">
        <v>0</v>
      </c>
      <c r="AV380">
        <v>0.06793758812988286</v>
      </c>
      <c r="AW380">
        <v>1</v>
      </c>
    </row>
    <row r="381" spans="2:49" ht="12.75">
      <c r="B381" s="16" t="s">
        <v>19</v>
      </c>
      <c r="C381">
        <v>1</v>
      </c>
      <c r="G381" s="19">
        <v>6.638015742649535E-05</v>
      </c>
      <c r="H381" s="4">
        <v>0</v>
      </c>
      <c r="I381" s="4">
        <v>0</v>
      </c>
      <c r="J381" s="4">
        <v>0</v>
      </c>
      <c r="K381" s="4">
        <v>0</v>
      </c>
      <c r="L381" s="4">
        <v>0</v>
      </c>
      <c r="M381" s="4">
        <v>0</v>
      </c>
      <c r="N381" s="27">
        <v>0</v>
      </c>
      <c r="O381" s="4">
        <v>0.003353238209176519</v>
      </c>
      <c r="P381" s="4">
        <v>0.0009138569866718702</v>
      </c>
      <c r="Q381" s="4">
        <v>0.0001816508154322581</v>
      </c>
      <c r="R381" s="4">
        <v>0</v>
      </c>
      <c r="S381" s="4">
        <v>0</v>
      </c>
      <c r="T381" s="4">
        <v>0</v>
      </c>
      <c r="U381" s="4">
        <v>0</v>
      </c>
      <c r="V381" s="17">
        <v>0.009625258674979152</v>
      </c>
      <c r="W381" s="17">
        <v>0.014140384843686295</v>
      </c>
      <c r="X381" s="18">
        <v>3.4219731321720834</v>
      </c>
      <c r="Y381" s="18"/>
      <c r="Z381" s="19">
        <v>5.0140420637019214E-08</v>
      </c>
      <c r="AA381" s="4">
        <v>0</v>
      </c>
      <c r="AB381" s="19">
        <v>0</v>
      </c>
      <c r="AC381" s="4">
        <v>0</v>
      </c>
      <c r="AD381" s="4">
        <v>0</v>
      </c>
      <c r="AE381" s="4">
        <v>0</v>
      </c>
      <c r="AF381" s="4">
        <v>0</v>
      </c>
      <c r="AG381" s="4">
        <v>0</v>
      </c>
      <c r="AH381" s="19">
        <v>1.7210578089974314E-05</v>
      </c>
      <c r="AI381" s="17">
        <v>2.79293611426016E-05</v>
      </c>
      <c r="AJ381" s="4">
        <v>2.120532557321397E-07</v>
      </c>
      <c r="AK381" s="4">
        <v>0</v>
      </c>
      <c r="AL381" s="4">
        <v>0</v>
      </c>
      <c r="AM381" s="4">
        <v>0</v>
      </c>
      <c r="AN381" s="4">
        <v>0</v>
      </c>
      <c r="AO381" s="4">
        <v>0.0012642812840939158</v>
      </c>
      <c r="AP381" s="6">
        <v>0.001309683417002861</v>
      </c>
      <c r="AQ381">
        <v>1.714202194580079</v>
      </c>
      <c r="AR381">
        <v>1</v>
      </c>
      <c r="AS381">
        <v>5.865953852963452</v>
      </c>
      <c r="AT381">
        <v>3.4219731321720834</v>
      </c>
      <c r="AU381">
        <v>1</v>
      </c>
      <c r="AV381">
        <v>0</v>
      </c>
      <c r="AW381">
        <v>0</v>
      </c>
    </row>
    <row r="382" spans="2:49" ht="12.75">
      <c r="B382" s="16" t="s">
        <v>20</v>
      </c>
      <c r="C382">
        <v>2</v>
      </c>
      <c r="G382" s="19">
        <v>8.990141601596542E-05</v>
      </c>
      <c r="H382" s="4">
        <v>0</v>
      </c>
      <c r="I382" s="4">
        <v>0</v>
      </c>
      <c r="J382" s="4">
        <v>0</v>
      </c>
      <c r="K382" s="4">
        <v>0</v>
      </c>
      <c r="L382" s="4">
        <v>0</v>
      </c>
      <c r="M382" s="4">
        <v>0</v>
      </c>
      <c r="N382" s="27">
        <v>0</v>
      </c>
      <c r="O382" s="4">
        <v>0.004541430375148256</v>
      </c>
      <c r="P382" s="4">
        <v>3.490623950258356E-05</v>
      </c>
      <c r="Q382" s="4">
        <v>0.004755678903914152</v>
      </c>
      <c r="R382" s="4">
        <v>0</v>
      </c>
      <c r="S382" s="4">
        <v>0</v>
      </c>
      <c r="T382" s="4">
        <v>0</v>
      </c>
      <c r="U382" s="4">
        <v>0</v>
      </c>
      <c r="V382" s="17">
        <v>0.007106964655622225</v>
      </c>
      <c r="W382" s="17">
        <v>0.01652888159020318</v>
      </c>
      <c r="X382" s="18">
        <v>3.9999893448291695</v>
      </c>
      <c r="Y382" s="18"/>
      <c r="Z382" s="19">
        <v>9.196963892584327E-08</v>
      </c>
      <c r="AA382" s="4">
        <v>0</v>
      </c>
      <c r="AB382" s="19">
        <v>0</v>
      </c>
      <c r="AC382" s="4">
        <v>0</v>
      </c>
      <c r="AD382" s="4">
        <v>0</v>
      </c>
      <c r="AE382" s="4">
        <v>0</v>
      </c>
      <c r="AF382" s="4">
        <v>0</v>
      </c>
      <c r="AG382" s="4">
        <v>0</v>
      </c>
      <c r="AH382" s="19">
        <v>3.156835607939298E-05</v>
      </c>
      <c r="AI382" s="17">
        <v>4.074840905214128E-08</v>
      </c>
      <c r="AJ382" s="4">
        <v>0.00014534339127765685</v>
      </c>
      <c r="AK382" s="4">
        <v>0</v>
      </c>
      <c r="AL382" s="4">
        <v>0</v>
      </c>
      <c r="AM382" s="4">
        <v>0</v>
      </c>
      <c r="AN382" s="4">
        <v>0</v>
      </c>
      <c r="AO382" s="4">
        <v>0.0006892665463120222</v>
      </c>
      <c r="AP382" s="6">
        <v>0.00086631101171705</v>
      </c>
      <c r="AQ382">
        <v>0.999992008628973</v>
      </c>
      <c r="AR382">
        <v>1</v>
      </c>
      <c r="AS382">
        <v>3.9999573794302106</v>
      </c>
      <c r="AT382">
        <v>3.9999893448291695</v>
      </c>
      <c r="AU382">
        <v>2</v>
      </c>
      <c r="AV382">
        <v>0</v>
      </c>
      <c r="AW382">
        <v>0</v>
      </c>
    </row>
    <row r="383" spans="2:49" ht="13.5" thickBot="1">
      <c r="B383" s="12" t="s">
        <v>21</v>
      </c>
      <c r="C383">
        <v>10</v>
      </c>
      <c r="G383" s="19">
        <v>1.5097840013875153E-05</v>
      </c>
      <c r="H383" s="4">
        <v>0</v>
      </c>
      <c r="I383" s="4">
        <v>0</v>
      </c>
      <c r="J383" s="4">
        <v>0</v>
      </c>
      <c r="K383" s="4">
        <v>0</v>
      </c>
      <c r="L383" s="4">
        <v>0</v>
      </c>
      <c r="M383" s="4">
        <v>0</v>
      </c>
      <c r="N383" s="27">
        <v>0</v>
      </c>
      <c r="O383" s="4">
        <v>0.000762677522520501</v>
      </c>
      <c r="P383" s="4">
        <v>0.00020785227265560555</v>
      </c>
      <c r="Q383" s="4">
        <v>0.0007986579347749773</v>
      </c>
      <c r="R383" s="4">
        <v>0</v>
      </c>
      <c r="S383" s="4">
        <v>0</v>
      </c>
      <c r="T383" s="4">
        <v>0</v>
      </c>
      <c r="U383" s="4">
        <v>0</v>
      </c>
      <c r="V383" s="17">
        <v>0.04231904600450613</v>
      </c>
      <c r="W383" s="17">
        <v>0.04410333157447109</v>
      </c>
      <c r="X383" s="18">
        <v>10.673006241022003</v>
      </c>
      <c r="Y383" s="18"/>
      <c r="Z383" s="19">
        <v>2.5938272883660255E-09</v>
      </c>
      <c r="AA383" s="4">
        <v>0</v>
      </c>
      <c r="AB383" s="19">
        <v>0</v>
      </c>
      <c r="AC383" s="4">
        <v>0</v>
      </c>
      <c r="AD383" s="4">
        <v>0</v>
      </c>
      <c r="AE383" s="4">
        <v>0</v>
      </c>
      <c r="AF383" s="4">
        <v>0</v>
      </c>
      <c r="AG383" s="4">
        <v>0</v>
      </c>
      <c r="AH383" s="19">
        <v>8.903249420562435E-07</v>
      </c>
      <c r="AI383" s="17">
        <v>1.4448211275041358E-06</v>
      </c>
      <c r="AJ383" s="4">
        <v>4.099131614332259E-06</v>
      </c>
      <c r="AK383" s="4">
        <v>0</v>
      </c>
      <c r="AL383" s="4">
        <v>0</v>
      </c>
      <c r="AM383" s="4">
        <v>0</v>
      </c>
      <c r="AN383" s="4">
        <v>0</v>
      </c>
      <c r="AO383" s="4">
        <v>0.024439404918094248</v>
      </c>
      <c r="AP383" s="6">
        <v>0.02444584178960543</v>
      </c>
      <c r="AQ383">
        <v>0.04243765910242692</v>
      </c>
      <c r="AR383">
        <v>0</v>
      </c>
      <c r="AS383">
        <v>0.4529374004545667</v>
      </c>
      <c r="AT383">
        <v>0</v>
      </c>
      <c r="AU383">
        <v>0</v>
      </c>
      <c r="AV383">
        <v>0.04243765910242692</v>
      </c>
      <c r="AW383">
        <v>1</v>
      </c>
    </row>
    <row r="384" spans="3:50" ht="12.75">
      <c r="C384" s="2">
        <v>242</v>
      </c>
      <c r="D384" s="2">
        <v>0</v>
      </c>
      <c r="E384" s="2">
        <v>0</v>
      </c>
      <c r="F384" s="2">
        <v>0</v>
      </c>
      <c r="G384" s="33">
        <v>0.08787970352033841</v>
      </c>
      <c r="H384" s="2">
        <v>0</v>
      </c>
      <c r="I384" s="2">
        <v>0</v>
      </c>
      <c r="J384" s="2">
        <v>0</v>
      </c>
      <c r="K384" s="2">
        <v>0</v>
      </c>
      <c r="L384" s="2">
        <v>0</v>
      </c>
      <c r="M384" s="2">
        <v>0</v>
      </c>
      <c r="N384" s="29">
        <v>0</v>
      </c>
      <c r="O384" s="2">
        <v>0.6533311332541143</v>
      </c>
      <c r="P384" s="2">
        <v>0.029901671857976427</v>
      </c>
      <c r="Q384" s="2">
        <v>0.15560722533251406</v>
      </c>
      <c r="R384" s="2">
        <v>0</v>
      </c>
      <c r="S384" s="2">
        <v>0</v>
      </c>
      <c r="T384" s="2">
        <v>0</v>
      </c>
      <c r="U384" s="2">
        <v>0</v>
      </c>
      <c r="V384" s="32">
        <v>0.0732792660350569</v>
      </c>
      <c r="W384" s="32">
        <v>0.9999990000000003</v>
      </c>
      <c r="X384" s="32">
        <v>241.999758</v>
      </c>
      <c r="Y384" s="32"/>
      <c r="Z384" s="33">
        <v>0.032471498028696706</v>
      </c>
      <c r="AA384" s="2">
        <v>0</v>
      </c>
      <c r="AB384" s="2">
        <v>0</v>
      </c>
      <c r="AC384" s="2">
        <v>0</v>
      </c>
      <c r="AD384" s="2">
        <v>0</v>
      </c>
      <c r="AE384" s="2">
        <v>0</v>
      </c>
      <c r="AF384" s="2">
        <v>0</v>
      </c>
      <c r="AG384" s="2">
        <v>0</v>
      </c>
      <c r="AH384" s="2">
        <v>0.24140546401180532</v>
      </c>
      <c r="AI384" s="2">
        <v>0.011048649914553997</v>
      </c>
      <c r="AJ384" s="2">
        <v>0.05749677693742222</v>
      </c>
      <c r="AK384" s="2">
        <v>0</v>
      </c>
      <c r="AL384" s="2">
        <v>0</v>
      </c>
      <c r="AM384" s="2">
        <v>0</v>
      </c>
      <c r="AN384" s="2">
        <v>0</v>
      </c>
      <c r="AO384" s="2">
        <v>0.0270766450873494</v>
      </c>
      <c r="AP384" s="2">
        <v>0.3694990339798276</v>
      </c>
      <c r="AQ384" s="36">
        <v>23.902739223991865</v>
      </c>
      <c r="AR384" s="36">
        <v>7</v>
      </c>
      <c r="AT384">
        <v>13.562872008789293</v>
      </c>
      <c r="AU384">
        <v>15</v>
      </c>
      <c r="AV384" s="36">
        <v>0.32428994748335765</v>
      </c>
      <c r="AW384" s="36">
        <v>9</v>
      </c>
      <c r="AX384" t="s">
        <v>64</v>
      </c>
    </row>
    <row r="385" spans="13:48" ht="12.75">
      <c r="M385" s="15"/>
      <c r="N385" s="15"/>
      <c r="AQ385" t="s">
        <v>38</v>
      </c>
      <c r="AU385" s="36">
        <v>0.1522787254633752</v>
      </c>
      <c r="AV385" s="41">
        <v>0.4765686729467329</v>
      </c>
    </row>
    <row r="386" spans="1:47" ht="12.75">
      <c r="A386" t="s">
        <v>72</v>
      </c>
      <c r="E386" t="s">
        <v>106</v>
      </c>
      <c r="F386">
        <v>0</v>
      </c>
      <c r="M386" s="15"/>
      <c r="N386" s="15"/>
      <c r="AP386" t="s">
        <v>106</v>
      </c>
      <c r="AU386" t="s">
        <v>61</v>
      </c>
    </row>
    <row r="387" spans="1:42" ht="12.75">
      <c r="A387" t="s">
        <v>71</v>
      </c>
      <c r="AP387" t="s">
        <v>0</v>
      </c>
    </row>
    <row r="388" ht="12.75">
      <c r="E388" t="s">
        <v>49</v>
      </c>
    </row>
    <row r="389" spans="2:3" ht="12.75">
      <c r="B389" t="s">
        <v>98</v>
      </c>
      <c r="C389" s="1">
        <v>0.041485036034575797</v>
      </c>
    </row>
    <row r="390" spans="2:26" ht="12.75">
      <c r="B390" t="s">
        <v>99</v>
      </c>
      <c r="C390" s="1">
        <v>0.22686281431353453</v>
      </c>
      <c r="Z390" s="21" t="s">
        <v>34</v>
      </c>
    </row>
    <row r="391" spans="2:3" ht="12.75">
      <c r="B391" t="s">
        <v>100</v>
      </c>
      <c r="C391" s="1">
        <v>0.16610736279915936</v>
      </c>
    </row>
    <row r="392" spans="2:42" ht="12.75">
      <c r="B392" t="s">
        <v>5</v>
      </c>
      <c r="C392" s="1">
        <v>0.19769591851117288</v>
      </c>
      <c r="G392" s="21" t="s">
        <v>107</v>
      </c>
      <c r="Z392" s="21" t="s">
        <v>101</v>
      </c>
      <c r="AP392" t="s">
        <v>108</v>
      </c>
    </row>
    <row r="393" spans="23:43" ht="12.75">
      <c r="W393" s="30" t="s">
        <v>22</v>
      </c>
      <c r="X393" s="15" t="s">
        <v>2</v>
      </c>
      <c r="AP393" t="s">
        <v>22</v>
      </c>
      <c r="AQ393" t="s">
        <v>37</v>
      </c>
    </row>
    <row r="394" spans="5:52" ht="12.75">
      <c r="E394" s="2"/>
      <c r="F394" s="2"/>
      <c r="G394" s="22">
        <v>0</v>
      </c>
      <c r="H394" s="5">
        <v>0</v>
      </c>
      <c r="I394" s="5">
        <v>0</v>
      </c>
      <c r="J394" s="5">
        <v>0</v>
      </c>
      <c r="K394" s="5">
        <v>0</v>
      </c>
      <c r="L394" s="5">
        <v>0</v>
      </c>
      <c r="M394" s="5">
        <v>0</v>
      </c>
      <c r="N394" s="25">
        <v>0</v>
      </c>
      <c r="O394" s="38">
        <v>0.8148541916793024</v>
      </c>
      <c r="P394" s="5">
        <v>0</v>
      </c>
      <c r="Q394" s="38">
        <v>0.10527226941789523</v>
      </c>
      <c r="R394" s="5">
        <v>0</v>
      </c>
      <c r="S394" s="5">
        <v>0</v>
      </c>
      <c r="T394" s="5">
        <v>0</v>
      </c>
      <c r="U394" s="5">
        <v>0</v>
      </c>
      <c r="V394" s="39">
        <v>0.0798745389028022</v>
      </c>
      <c r="W394" s="17">
        <v>1.000001</v>
      </c>
      <c r="X394" s="15" t="s">
        <v>97</v>
      </c>
      <c r="Z394" s="34">
        <v>0</v>
      </c>
      <c r="AA394" s="8">
        <v>0</v>
      </c>
      <c r="AB394" s="8">
        <v>0</v>
      </c>
      <c r="AC394" s="8">
        <v>0</v>
      </c>
      <c r="AD394" s="8">
        <v>0</v>
      </c>
      <c r="AE394" s="8">
        <v>0</v>
      </c>
      <c r="AF394" s="8">
        <v>0</v>
      </c>
      <c r="AG394" s="8">
        <v>0</v>
      </c>
      <c r="AH394" s="34">
        <v>0.8148541916793024</v>
      </c>
      <c r="AI394" s="35">
        <v>0</v>
      </c>
      <c r="AJ394" s="8">
        <v>0.10527226941789523</v>
      </c>
      <c r="AK394" s="8">
        <v>0</v>
      </c>
      <c r="AL394" s="8">
        <v>0</v>
      </c>
      <c r="AM394" s="8">
        <v>0</v>
      </c>
      <c r="AN394" s="8">
        <v>0</v>
      </c>
      <c r="AO394" s="8">
        <v>0.0798745389028022</v>
      </c>
      <c r="AP394" s="6">
        <v>1.000001</v>
      </c>
      <c r="AX394" s="53" t="s">
        <v>90</v>
      </c>
      <c r="AY394" s="53" t="s">
        <v>91</v>
      </c>
      <c r="AZ394" s="53"/>
    </row>
    <row r="395" spans="2:52" ht="12.75">
      <c r="B395" t="s">
        <v>1</v>
      </c>
      <c r="C395" t="s">
        <v>102</v>
      </c>
      <c r="D395" t="s">
        <v>103</v>
      </c>
      <c r="E395" t="s">
        <v>104</v>
      </c>
      <c r="F395" t="s">
        <v>105</v>
      </c>
      <c r="G395" s="23" t="s">
        <v>6</v>
      </c>
      <c r="H395" s="7" t="s">
        <v>8</v>
      </c>
      <c r="I395" s="7" t="s">
        <v>9</v>
      </c>
      <c r="J395" s="7" t="s">
        <v>10</v>
      </c>
      <c r="K395" s="7" t="s">
        <v>11</v>
      </c>
      <c r="L395" s="7" t="s">
        <v>12</v>
      </c>
      <c r="M395" s="7" t="s">
        <v>13</v>
      </c>
      <c r="N395" s="26" t="s">
        <v>14</v>
      </c>
      <c r="O395" s="7" t="s">
        <v>7</v>
      </c>
      <c r="P395" s="7" t="s">
        <v>15</v>
      </c>
      <c r="Q395" s="7" t="s">
        <v>16</v>
      </c>
      <c r="R395" s="7" t="s">
        <v>17</v>
      </c>
      <c r="S395" s="7" t="s">
        <v>18</v>
      </c>
      <c r="T395" s="7" t="s">
        <v>19</v>
      </c>
      <c r="U395" s="7" t="s">
        <v>20</v>
      </c>
      <c r="V395" s="31" t="s">
        <v>21</v>
      </c>
      <c r="W395" s="31"/>
      <c r="Z395" s="23" t="s">
        <v>6</v>
      </c>
      <c r="AA395" s="7" t="s">
        <v>8</v>
      </c>
      <c r="AB395" s="7" t="s">
        <v>9</v>
      </c>
      <c r="AC395" s="7" t="s">
        <v>10</v>
      </c>
      <c r="AD395" s="7" t="s">
        <v>11</v>
      </c>
      <c r="AE395" s="7" t="s">
        <v>12</v>
      </c>
      <c r="AF395" s="7" t="s">
        <v>13</v>
      </c>
      <c r="AG395" s="26" t="s">
        <v>14</v>
      </c>
      <c r="AH395" s="7" t="s">
        <v>7</v>
      </c>
      <c r="AI395" s="7" t="s">
        <v>15</v>
      </c>
      <c r="AJ395" s="7" t="s">
        <v>16</v>
      </c>
      <c r="AK395" s="7" t="s">
        <v>17</v>
      </c>
      <c r="AL395" s="7" t="s">
        <v>18</v>
      </c>
      <c r="AM395" s="7" t="s">
        <v>19</v>
      </c>
      <c r="AN395" s="7" t="s">
        <v>20</v>
      </c>
      <c r="AO395" s="31" t="s">
        <v>21</v>
      </c>
      <c r="AP395" s="6"/>
      <c r="AR395" t="s">
        <v>65</v>
      </c>
      <c r="AS395" t="s">
        <v>59</v>
      </c>
      <c r="AT395" t="s">
        <v>60</v>
      </c>
      <c r="AU395" t="s">
        <v>62</v>
      </c>
      <c r="AW395" t="s">
        <v>63</v>
      </c>
      <c r="AX395" s="53"/>
      <c r="AY395" s="53"/>
      <c r="AZ395" s="53"/>
    </row>
    <row r="396" spans="2:52" ht="12.75">
      <c r="B396" s="16" t="s">
        <v>6</v>
      </c>
      <c r="C396">
        <v>27</v>
      </c>
      <c r="G396" s="19">
        <v>0</v>
      </c>
      <c r="H396" s="4">
        <v>0</v>
      </c>
      <c r="I396" s="4">
        <v>0</v>
      </c>
      <c r="J396" s="4">
        <v>0</v>
      </c>
      <c r="K396" s="4">
        <v>0</v>
      </c>
      <c r="L396" s="4">
        <v>0</v>
      </c>
      <c r="M396" s="4">
        <v>0</v>
      </c>
      <c r="N396" s="27">
        <v>0</v>
      </c>
      <c r="O396" s="4">
        <v>0.0995504450419709</v>
      </c>
      <c r="P396" s="4">
        <v>0</v>
      </c>
      <c r="Q396" s="4">
        <v>0.0037738448420116246</v>
      </c>
      <c r="R396" s="4">
        <v>0</v>
      </c>
      <c r="S396" s="4">
        <v>0</v>
      </c>
      <c r="T396" s="4">
        <v>0</v>
      </c>
      <c r="U396" s="4">
        <v>0</v>
      </c>
      <c r="V396" s="17">
        <v>2.468594389425415E-05</v>
      </c>
      <c r="W396" s="17">
        <v>0.10334897582787678</v>
      </c>
      <c r="X396" s="18">
        <v>25.01045215034618</v>
      </c>
      <c r="Y396" s="18"/>
      <c r="Z396" s="19">
        <v>0</v>
      </c>
      <c r="AA396" s="4">
        <v>0</v>
      </c>
      <c r="AB396" s="4">
        <v>0</v>
      </c>
      <c r="AC396" s="4">
        <v>0</v>
      </c>
      <c r="AD396" s="4">
        <v>0</v>
      </c>
      <c r="AE396" s="4">
        <v>0</v>
      </c>
      <c r="AF396" s="4">
        <v>0</v>
      </c>
      <c r="AG396" s="4">
        <v>0</v>
      </c>
      <c r="AH396" s="19">
        <v>0.012162042251547754</v>
      </c>
      <c r="AI396" s="17">
        <v>0</v>
      </c>
      <c r="AJ396" s="4">
        <v>0.00013528638615210438</v>
      </c>
      <c r="AK396" s="4">
        <v>0</v>
      </c>
      <c r="AL396" s="4">
        <v>0</v>
      </c>
      <c r="AM396" s="4">
        <v>0</v>
      </c>
      <c r="AN396" s="4">
        <v>0</v>
      </c>
      <c r="AO396" s="4">
        <v>7.629412755569404E-09</v>
      </c>
      <c r="AP396" s="6">
        <v>0.012297336267112616</v>
      </c>
      <c r="AQ396">
        <v>0.1582658571011622</v>
      </c>
      <c r="AR396">
        <v>0</v>
      </c>
      <c r="AS396">
        <v>3.9583006460621433</v>
      </c>
      <c r="AT396">
        <v>0</v>
      </c>
      <c r="AU396">
        <v>0</v>
      </c>
      <c r="AV396">
        <v>0.1582658571011622</v>
      </c>
      <c r="AW396">
        <v>1</v>
      </c>
      <c r="AX396" s="53">
        <f>100*(C400+C401+C402+C403+C408+C409+C410+C411)/C412</f>
        <v>10.743801652892563</v>
      </c>
      <c r="AY396" s="53">
        <f>100*(X400+X401+X402+X403+X408+X409+X410+X411)/X412</f>
        <v>11.473230544085284</v>
      </c>
      <c r="AZ396" s="53" t="s">
        <v>93</v>
      </c>
    </row>
    <row r="397" spans="2:52" ht="12.75">
      <c r="B397" s="16" t="s">
        <v>8</v>
      </c>
      <c r="C397">
        <v>5</v>
      </c>
      <c r="G397" s="19">
        <v>0</v>
      </c>
      <c r="H397" s="4">
        <v>0</v>
      </c>
      <c r="I397" s="4">
        <v>0</v>
      </c>
      <c r="J397" s="4">
        <v>0</v>
      </c>
      <c r="K397" s="4">
        <v>0</v>
      </c>
      <c r="L397" s="4">
        <v>0</v>
      </c>
      <c r="M397" s="4">
        <v>0</v>
      </c>
      <c r="N397" s="27">
        <v>0</v>
      </c>
      <c r="O397" s="4">
        <v>0.019829965098278925</v>
      </c>
      <c r="P397" s="4">
        <v>0</v>
      </c>
      <c r="Q397" s="4">
        <v>0.0007517315615400774</v>
      </c>
      <c r="R397" s="4">
        <v>0</v>
      </c>
      <c r="S397" s="4">
        <v>0</v>
      </c>
      <c r="T397" s="4">
        <v>0</v>
      </c>
      <c r="U397" s="4">
        <v>0</v>
      </c>
      <c r="V397" s="17">
        <v>0.00012392844307968127</v>
      </c>
      <c r="W397" s="17">
        <v>0.020705625102898684</v>
      </c>
      <c r="X397" s="18">
        <v>5.010761274901482</v>
      </c>
      <c r="Y397" s="18"/>
      <c r="Z397" s="19">
        <v>0</v>
      </c>
      <c r="AA397" s="4">
        <v>0</v>
      </c>
      <c r="AB397" s="4">
        <v>0</v>
      </c>
      <c r="AC397" s="4">
        <v>0</v>
      </c>
      <c r="AD397" s="4">
        <v>0</v>
      </c>
      <c r="AE397" s="4">
        <v>0</v>
      </c>
      <c r="AF397" s="4">
        <v>0</v>
      </c>
      <c r="AG397" s="4">
        <v>0</v>
      </c>
      <c r="AH397" s="19">
        <v>0.00048257408480475804</v>
      </c>
      <c r="AI397" s="17">
        <v>0</v>
      </c>
      <c r="AJ397" s="4">
        <v>5.367988585600129E-06</v>
      </c>
      <c r="AK397" s="4">
        <v>0</v>
      </c>
      <c r="AL397" s="4">
        <v>0</v>
      </c>
      <c r="AM397" s="4">
        <v>0</v>
      </c>
      <c r="AN397" s="4">
        <v>0</v>
      </c>
      <c r="AO397" s="4">
        <v>1.9227978295865934E-07</v>
      </c>
      <c r="AP397" s="6">
        <v>0.00048813435317331686</v>
      </c>
      <c r="AQ397">
        <v>2.3111266163350535E-05</v>
      </c>
      <c r="AR397">
        <v>0</v>
      </c>
      <c r="AS397">
        <v>0.00011580503750525779</v>
      </c>
      <c r="AT397">
        <v>0</v>
      </c>
      <c r="AU397">
        <v>0</v>
      </c>
      <c r="AV397">
        <v>2.3111266163350535E-05</v>
      </c>
      <c r="AW397">
        <v>1</v>
      </c>
      <c r="AX397" s="53">
        <f>100*(C398+C399+C402+C403+C406+C407+C410+C411)/C412</f>
        <v>33.47107438016529</v>
      </c>
      <c r="AY397" s="53">
        <f>100*(X398+X399+X402+X403+X406+X407+X410+X411)/X412</f>
        <v>32.800366949977295</v>
      </c>
      <c r="AZ397" s="53" t="s">
        <v>94</v>
      </c>
    </row>
    <row r="398" spans="2:52" ht="12.75">
      <c r="B398" s="16" t="s">
        <v>9</v>
      </c>
      <c r="C398">
        <v>8</v>
      </c>
      <c r="G398" s="19">
        <v>0</v>
      </c>
      <c r="H398" s="4">
        <v>0</v>
      </c>
      <c r="I398" s="4">
        <v>0</v>
      </c>
      <c r="J398" s="4">
        <v>0</v>
      </c>
      <c r="K398" s="4">
        <v>0</v>
      </c>
      <c r="L398" s="4">
        <v>0</v>
      </c>
      <c r="M398" s="4">
        <v>0</v>
      </c>
      <c r="N398" s="27">
        <v>0</v>
      </c>
      <c r="O398" s="4">
        <v>0.029211237729218603</v>
      </c>
      <c r="P398" s="4">
        <v>0</v>
      </c>
      <c r="Q398" s="4">
        <v>0.012861075488281037</v>
      </c>
      <c r="R398" s="4">
        <v>0</v>
      </c>
      <c r="S398" s="4">
        <v>0</v>
      </c>
      <c r="T398" s="4">
        <v>0</v>
      </c>
      <c r="U398" s="4">
        <v>0</v>
      </c>
      <c r="V398" s="17">
        <v>8.412846876721038E-05</v>
      </c>
      <c r="W398" s="17">
        <v>0.04215644168626685</v>
      </c>
      <c r="X398" s="18">
        <v>10.201858888076577</v>
      </c>
      <c r="Y398" s="18"/>
      <c r="Z398" s="19">
        <v>0</v>
      </c>
      <c r="AA398" s="4">
        <v>0</v>
      </c>
      <c r="AB398" s="4">
        <v>0</v>
      </c>
      <c r="AC398" s="4">
        <v>0</v>
      </c>
      <c r="AD398" s="4">
        <v>0</v>
      </c>
      <c r="AE398" s="4">
        <v>0</v>
      </c>
      <c r="AF398" s="4">
        <v>0</v>
      </c>
      <c r="AG398" s="4">
        <v>0</v>
      </c>
      <c r="AH398" s="19">
        <v>0.001047176805845961</v>
      </c>
      <c r="AI398" s="17">
        <v>0</v>
      </c>
      <c r="AJ398" s="4">
        <v>0.0015712329907000724</v>
      </c>
      <c r="AK398" s="4">
        <v>0</v>
      </c>
      <c r="AL398" s="4">
        <v>0</v>
      </c>
      <c r="AM398" s="4">
        <v>0</v>
      </c>
      <c r="AN398" s="4">
        <v>0</v>
      </c>
      <c r="AO398" s="4">
        <v>8.860895291962924E-08</v>
      </c>
      <c r="AP398" s="6">
        <v>0.002618498405498953</v>
      </c>
      <c r="AQ398">
        <v>0.4752254090348314</v>
      </c>
      <c r="AR398">
        <v>0</v>
      </c>
      <c r="AS398">
        <v>4.848182563001822</v>
      </c>
      <c r="AT398">
        <v>0</v>
      </c>
      <c r="AU398">
        <v>0</v>
      </c>
      <c r="AV398">
        <v>0.4752254090348314</v>
      </c>
      <c r="AW398">
        <v>1</v>
      </c>
      <c r="AX398" s="53">
        <f>100*(C397+C399+C401+C403+C405+C407+C409+C411)/C412</f>
        <v>22.31404958677686</v>
      </c>
      <c r="AY398" s="53">
        <f>100*(X397+X399+X401+X403+X405+X407+X409+X411)/X412</f>
        <v>21.944635033908742</v>
      </c>
      <c r="AZ398" s="53" t="s">
        <v>95</v>
      </c>
    </row>
    <row r="399" spans="2:52" ht="12.75">
      <c r="B399" s="16" t="s">
        <v>10</v>
      </c>
      <c r="C399">
        <v>4</v>
      </c>
      <c r="G399" s="19">
        <v>0</v>
      </c>
      <c r="H399" s="4">
        <v>0</v>
      </c>
      <c r="I399" s="4">
        <v>0</v>
      </c>
      <c r="J399" s="4">
        <v>0</v>
      </c>
      <c r="K399" s="4">
        <v>0</v>
      </c>
      <c r="L399" s="4">
        <v>0</v>
      </c>
      <c r="M399" s="4">
        <v>0</v>
      </c>
      <c r="N399" s="27">
        <v>0</v>
      </c>
      <c r="O399" s="4">
        <v>0.005818736665654439</v>
      </c>
      <c r="P399" s="4">
        <v>0</v>
      </c>
      <c r="Q399" s="4">
        <v>0.0025618637661681955</v>
      </c>
      <c r="R399" s="4">
        <v>0</v>
      </c>
      <c r="S399" s="4">
        <v>0</v>
      </c>
      <c r="T399" s="4">
        <v>0</v>
      </c>
      <c r="U399" s="4">
        <v>0</v>
      </c>
      <c r="V399" s="17">
        <v>0.0004223419690840619</v>
      </c>
      <c r="W399" s="17">
        <v>0.008802942400906698</v>
      </c>
      <c r="X399" s="18">
        <v>2.130312061019421</v>
      </c>
      <c r="Y399" s="18"/>
      <c r="Z399" s="19">
        <v>0</v>
      </c>
      <c r="AA399" s="4">
        <v>0</v>
      </c>
      <c r="AB399" s="4">
        <v>0</v>
      </c>
      <c r="AC399" s="4">
        <v>0</v>
      </c>
      <c r="AD399" s="4">
        <v>0</v>
      </c>
      <c r="AE399" s="4">
        <v>0</v>
      </c>
      <c r="AF399" s="4">
        <v>0</v>
      </c>
      <c r="AG399" s="4">
        <v>0</v>
      </c>
      <c r="AH399" s="19">
        <v>4.155061939910414E-05</v>
      </c>
      <c r="AI399" s="17">
        <v>0</v>
      </c>
      <c r="AJ399" s="4">
        <v>6.234449007983313E-05</v>
      </c>
      <c r="AK399" s="4">
        <v>0</v>
      </c>
      <c r="AL399" s="4">
        <v>0</v>
      </c>
      <c r="AM399" s="4">
        <v>0</v>
      </c>
      <c r="AN399" s="4">
        <v>0</v>
      </c>
      <c r="AO399" s="4">
        <v>2.233161421649784E-06</v>
      </c>
      <c r="AP399" s="6">
        <v>0.00010612827090058705</v>
      </c>
      <c r="AQ399">
        <v>1.64094878545476</v>
      </c>
      <c r="AR399">
        <v>1</v>
      </c>
      <c r="AS399">
        <v>3.4957329891694453</v>
      </c>
      <c r="AT399">
        <v>2.130312061019421</v>
      </c>
      <c r="AU399">
        <v>4</v>
      </c>
      <c r="AV399">
        <v>0</v>
      </c>
      <c r="AW399">
        <v>0</v>
      </c>
      <c r="AX399" s="53">
        <f>100*(C404+C405+C406+C407+C408+C409+C410+C411)/C412</f>
        <v>78.51239669421487</v>
      </c>
      <c r="AY399" s="53">
        <f>100*(X404+X405+X406+X407+X408+X409+X410+X411)/X412</f>
        <v>80.23040814888272</v>
      </c>
      <c r="AZ399" s="53" t="s">
        <v>96</v>
      </c>
    </row>
    <row r="400" spans="2:49" ht="12.75">
      <c r="B400" s="3" t="s">
        <v>11</v>
      </c>
      <c r="C400">
        <v>0</v>
      </c>
      <c r="G400" s="19">
        <v>0</v>
      </c>
      <c r="H400" s="4">
        <v>0</v>
      </c>
      <c r="I400" s="4">
        <v>0</v>
      </c>
      <c r="J400" s="4">
        <v>0</v>
      </c>
      <c r="K400" s="4">
        <v>0</v>
      </c>
      <c r="L400" s="4">
        <v>0</v>
      </c>
      <c r="M400" s="4">
        <v>0</v>
      </c>
      <c r="N400" s="27">
        <v>0</v>
      </c>
      <c r="O400" s="4">
        <v>0.004308596062745655</v>
      </c>
      <c r="P400" s="4">
        <v>0</v>
      </c>
      <c r="Q400" s="4">
        <v>0.00016333400640096597</v>
      </c>
      <c r="R400" s="4">
        <v>0</v>
      </c>
      <c r="S400" s="4">
        <v>0</v>
      </c>
      <c r="T400" s="4">
        <v>0</v>
      </c>
      <c r="U400" s="4">
        <v>0</v>
      </c>
      <c r="V400" s="17">
        <v>0.0005703706416581749</v>
      </c>
      <c r="W400" s="17">
        <v>0.005042300710804796</v>
      </c>
      <c r="X400" s="18">
        <v>1.2202367720147604</v>
      </c>
      <c r="Y400" s="18"/>
      <c r="Z400" s="19">
        <v>0</v>
      </c>
      <c r="AA400" s="4">
        <v>0</v>
      </c>
      <c r="AB400" s="4">
        <v>0</v>
      </c>
      <c r="AC400" s="4">
        <v>0</v>
      </c>
      <c r="AD400" s="4">
        <v>0</v>
      </c>
      <c r="AE400" s="4">
        <v>0</v>
      </c>
      <c r="AF400" s="4">
        <v>0</v>
      </c>
      <c r="AG400" s="4">
        <v>0</v>
      </c>
      <c r="AH400" s="19">
        <v>2.2781989982342134E-05</v>
      </c>
      <c r="AI400" s="17">
        <v>0</v>
      </c>
      <c r="AJ400" s="4">
        <v>2.534190418284627E-07</v>
      </c>
      <c r="AK400" s="4">
        <v>0</v>
      </c>
      <c r="AL400" s="4">
        <v>0</v>
      </c>
      <c r="AM400" s="4">
        <v>0</v>
      </c>
      <c r="AN400" s="4">
        <v>0</v>
      </c>
      <c r="AO400" s="4">
        <v>4.072920774684372E-06</v>
      </c>
      <c r="AP400" s="6">
        <v>2.710832979885497E-05</v>
      </c>
      <c r="AQ400">
        <v>1.2202367720147604</v>
      </c>
      <c r="AR400">
        <v>1</v>
      </c>
      <c r="AS400">
        <v>1.4889777797770025</v>
      </c>
      <c r="AT400">
        <v>1.2202367720147604</v>
      </c>
      <c r="AU400">
        <v>0</v>
      </c>
      <c r="AV400">
        <v>0</v>
      </c>
      <c r="AW400">
        <v>0</v>
      </c>
    </row>
    <row r="401" spans="1:50" ht="12.75">
      <c r="A401" s="15"/>
      <c r="B401" s="16" t="s">
        <v>12</v>
      </c>
      <c r="C401">
        <v>3</v>
      </c>
      <c r="G401" s="19">
        <v>0</v>
      </c>
      <c r="H401" s="17">
        <v>0</v>
      </c>
      <c r="I401" s="17">
        <v>0</v>
      </c>
      <c r="J401" s="17">
        <v>0</v>
      </c>
      <c r="K401" s="17">
        <v>0</v>
      </c>
      <c r="L401" s="17">
        <v>0</v>
      </c>
      <c r="M401" s="17">
        <v>0</v>
      </c>
      <c r="N401" s="27">
        <v>0</v>
      </c>
      <c r="O401" s="17">
        <v>0.0008582514072218031</v>
      </c>
      <c r="P401" s="17">
        <v>0</v>
      </c>
      <c r="Q401" s="17">
        <v>3.253534070016144E-05</v>
      </c>
      <c r="R401" s="17">
        <v>0</v>
      </c>
      <c r="S401" s="17">
        <v>0</v>
      </c>
      <c r="T401" s="17">
        <v>0</v>
      </c>
      <c r="U401" s="17">
        <v>0</v>
      </c>
      <c r="V401" s="17">
        <v>0.0028633762558096442</v>
      </c>
      <c r="W401" s="17">
        <v>0.003754163003731609</v>
      </c>
      <c r="X401" s="18">
        <v>0.9085074469030493</v>
      </c>
      <c r="Y401" s="18"/>
      <c r="Z401" s="19">
        <v>0</v>
      </c>
      <c r="AA401" s="4">
        <v>0</v>
      </c>
      <c r="AB401" s="4">
        <v>0</v>
      </c>
      <c r="AC401" s="17">
        <v>0</v>
      </c>
      <c r="AD401" s="17">
        <v>0</v>
      </c>
      <c r="AE401" s="17">
        <v>0</v>
      </c>
      <c r="AF401" s="17">
        <v>0</v>
      </c>
      <c r="AG401" s="17">
        <v>0</v>
      </c>
      <c r="AH401" s="19">
        <v>9.03959856278316E-07</v>
      </c>
      <c r="AI401" s="17">
        <v>0</v>
      </c>
      <c r="AJ401" s="17">
        <v>1.0055339362672074E-08</v>
      </c>
      <c r="AK401" s="17">
        <v>0</v>
      </c>
      <c r="AL401" s="17">
        <v>0</v>
      </c>
      <c r="AM401" s="17">
        <v>0</v>
      </c>
      <c r="AN401" s="17">
        <v>0</v>
      </c>
      <c r="AO401" s="17">
        <v>0.00010264752316519249</v>
      </c>
      <c r="AP401" s="6">
        <v>0.00010356153836083347</v>
      </c>
      <c r="AQ401">
        <v>4.814865430736315</v>
      </c>
      <c r="AR401">
        <v>1</v>
      </c>
      <c r="AS401">
        <v>4.3743410996600005</v>
      </c>
      <c r="AT401">
        <v>0.9085074469030493</v>
      </c>
      <c r="AU401">
        <v>3</v>
      </c>
      <c r="AV401">
        <v>0</v>
      </c>
      <c r="AW401">
        <v>0</v>
      </c>
      <c r="AX401" s="15"/>
    </row>
    <row r="402" spans="1:50" ht="12.75">
      <c r="A402" s="15"/>
      <c r="B402" s="16" t="s">
        <v>13</v>
      </c>
      <c r="C402">
        <v>3</v>
      </c>
      <c r="G402" s="19">
        <v>0</v>
      </c>
      <c r="H402" s="17">
        <v>0</v>
      </c>
      <c r="I402" s="17">
        <v>0</v>
      </c>
      <c r="J402" s="17">
        <v>0</v>
      </c>
      <c r="K402" s="17">
        <v>0</v>
      </c>
      <c r="L402" s="17">
        <v>0</v>
      </c>
      <c r="M402" s="17">
        <v>0</v>
      </c>
      <c r="N402" s="27">
        <v>0</v>
      </c>
      <c r="O402" s="17">
        <v>0.0012642778624944945</v>
      </c>
      <c r="P402" s="17">
        <v>0</v>
      </c>
      <c r="Q402" s="17">
        <v>0.0005566341686179293</v>
      </c>
      <c r="R402" s="17">
        <v>0</v>
      </c>
      <c r="S402" s="17">
        <v>0</v>
      </c>
      <c r="T402" s="17">
        <v>0</v>
      </c>
      <c r="U402" s="17">
        <v>0</v>
      </c>
      <c r="V402" s="17">
        <v>0.0019437947731722046</v>
      </c>
      <c r="W402" s="17">
        <v>0.0037647068042846285</v>
      </c>
      <c r="X402" s="18">
        <v>0.9110590466368801</v>
      </c>
      <c r="Y402" s="18"/>
      <c r="Z402" s="19">
        <v>0</v>
      </c>
      <c r="AA402" s="4">
        <v>0</v>
      </c>
      <c r="AB402" s="4">
        <v>0</v>
      </c>
      <c r="AC402" s="17">
        <v>0</v>
      </c>
      <c r="AD402" s="17">
        <v>0</v>
      </c>
      <c r="AE402" s="17">
        <v>0</v>
      </c>
      <c r="AF402" s="17">
        <v>0</v>
      </c>
      <c r="AG402" s="17">
        <v>0</v>
      </c>
      <c r="AH402" s="19">
        <v>1.961576107621866E-06</v>
      </c>
      <c r="AI402" s="17">
        <v>0</v>
      </c>
      <c r="AJ402" s="17">
        <v>2.9432404125630386E-06</v>
      </c>
      <c r="AK402" s="17">
        <v>0</v>
      </c>
      <c r="AL402" s="17">
        <v>0</v>
      </c>
      <c r="AM402" s="17">
        <v>0</v>
      </c>
      <c r="AN402" s="17">
        <v>0</v>
      </c>
      <c r="AO402" s="17">
        <v>4.730341072527967E-05</v>
      </c>
      <c r="AP402" s="6">
        <v>5.220822724546458E-05</v>
      </c>
      <c r="AQ402">
        <v>4.789672329961338</v>
      </c>
      <c r="AR402">
        <v>1</v>
      </c>
      <c r="AS402">
        <v>4.363674306637621</v>
      </c>
      <c r="AT402">
        <v>0.9110590466368801</v>
      </c>
      <c r="AU402">
        <v>3</v>
      </c>
      <c r="AV402">
        <v>0</v>
      </c>
      <c r="AW402">
        <v>0</v>
      </c>
      <c r="AX402" s="15"/>
    </row>
    <row r="403" spans="1:50" ht="13.5" thickBot="1">
      <c r="A403" s="11" t="s">
        <v>4</v>
      </c>
      <c r="B403" s="12" t="s">
        <v>14</v>
      </c>
      <c r="C403">
        <v>2</v>
      </c>
      <c r="G403" s="20">
        <v>0</v>
      </c>
      <c r="H403" s="13">
        <v>0</v>
      </c>
      <c r="I403" s="13">
        <v>0</v>
      </c>
      <c r="J403" s="13">
        <v>0</v>
      </c>
      <c r="K403" s="13">
        <v>0</v>
      </c>
      <c r="L403" s="13">
        <v>0</v>
      </c>
      <c r="M403" s="13">
        <v>0</v>
      </c>
      <c r="N403" s="28">
        <v>0</v>
      </c>
      <c r="O403" s="13">
        <v>0.0002518380091341895</v>
      </c>
      <c r="P403" s="13">
        <v>0</v>
      </c>
      <c r="Q403" s="13">
        <v>0.00011087882260646202</v>
      </c>
      <c r="R403" s="13">
        <v>0</v>
      </c>
      <c r="S403" s="13">
        <v>0</v>
      </c>
      <c r="T403" s="13">
        <v>0</v>
      </c>
      <c r="U403" s="13">
        <v>0</v>
      </c>
      <c r="V403" s="13">
        <v>0.009758243838580661</v>
      </c>
      <c r="W403" s="13">
        <v>0.010120960670321312</v>
      </c>
      <c r="X403" s="14">
        <v>2.4492724822177574</v>
      </c>
      <c r="Y403" s="14"/>
      <c r="Z403" s="20">
        <v>0</v>
      </c>
      <c r="AA403" s="13">
        <v>0</v>
      </c>
      <c r="AB403" s="13">
        <v>0</v>
      </c>
      <c r="AC403" s="13">
        <v>0</v>
      </c>
      <c r="AD403" s="13">
        <v>0</v>
      </c>
      <c r="AE403" s="13">
        <v>0</v>
      </c>
      <c r="AF403" s="13">
        <v>0</v>
      </c>
      <c r="AG403" s="13">
        <v>0</v>
      </c>
      <c r="AH403" s="20">
        <v>7.783279940423122E-08</v>
      </c>
      <c r="AI403" s="13">
        <v>0</v>
      </c>
      <c r="AJ403" s="13">
        <v>1.1678396761631322E-07</v>
      </c>
      <c r="AK403" s="13">
        <v>0</v>
      </c>
      <c r="AL403" s="13">
        <v>0</v>
      </c>
      <c r="AM403" s="13">
        <v>0</v>
      </c>
      <c r="AN403" s="13">
        <v>0</v>
      </c>
      <c r="AO403" s="13">
        <v>0.0011921611582518539</v>
      </c>
      <c r="AP403" s="6">
        <v>0.0011923557750188744</v>
      </c>
      <c r="AQ403">
        <v>0.08241049729809509</v>
      </c>
      <c r="AR403">
        <v>1</v>
      </c>
      <c r="AS403">
        <v>0.20184576327810513</v>
      </c>
      <c r="AT403">
        <v>2.4492724822177574</v>
      </c>
      <c r="AU403">
        <v>2</v>
      </c>
      <c r="AV403">
        <v>0</v>
      </c>
      <c r="AW403">
        <v>0</v>
      </c>
      <c r="AX403" s="11"/>
    </row>
    <row r="404" spans="2:49" ht="12.75">
      <c r="B404" s="3" t="s">
        <v>7</v>
      </c>
      <c r="C404">
        <v>99</v>
      </c>
      <c r="G404" s="19">
        <v>0</v>
      </c>
      <c r="H404" s="4">
        <v>0</v>
      </c>
      <c r="I404" s="4">
        <v>0</v>
      </c>
      <c r="J404" s="4">
        <v>0</v>
      </c>
      <c r="K404" s="4">
        <v>0</v>
      </c>
      <c r="L404" s="4">
        <v>0</v>
      </c>
      <c r="M404" s="4">
        <v>0</v>
      </c>
      <c r="N404" s="27">
        <v>0</v>
      </c>
      <c r="O404" s="4">
        <v>0.4040029201042335</v>
      </c>
      <c r="P404" s="4">
        <v>0</v>
      </c>
      <c r="Q404" s="4">
        <v>0.015315294025558592</v>
      </c>
      <c r="R404" s="4">
        <v>0</v>
      </c>
      <c r="S404" s="4">
        <v>0</v>
      </c>
      <c r="T404" s="4">
        <v>0</v>
      </c>
      <c r="U404" s="4">
        <v>0</v>
      </c>
      <c r="V404" s="17">
        <v>0.00010018230872401633</v>
      </c>
      <c r="W404" s="17">
        <v>0.4194183964385161</v>
      </c>
      <c r="X404" s="18">
        <v>101.49925193812089</v>
      </c>
      <c r="Y404" s="18"/>
      <c r="Z404" s="19">
        <v>0</v>
      </c>
      <c r="AA404" s="4">
        <v>0</v>
      </c>
      <c r="AB404" s="19">
        <v>0</v>
      </c>
      <c r="AC404" s="4">
        <v>0</v>
      </c>
      <c r="AD404" s="4">
        <v>0</v>
      </c>
      <c r="AE404" s="4">
        <v>0</v>
      </c>
      <c r="AF404" s="4">
        <v>0</v>
      </c>
      <c r="AG404" s="4">
        <v>0</v>
      </c>
      <c r="AH404" s="19">
        <v>0.2003037612365681</v>
      </c>
      <c r="AI404" s="17">
        <v>0</v>
      </c>
      <c r="AJ404" s="4">
        <v>0.002228110331299062</v>
      </c>
      <c r="AK404" s="4">
        <v>0</v>
      </c>
      <c r="AL404" s="4">
        <v>0</v>
      </c>
      <c r="AM404" s="4">
        <v>0</v>
      </c>
      <c r="AN404" s="4">
        <v>0</v>
      </c>
      <c r="AO404" s="4">
        <v>1.2565324469024276E-07</v>
      </c>
      <c r="AP404" s="6">
        <v>0.20253199722111184</v>
      </c>
      <c r="AQ404">
        <v>0.06153996340789856</v>
      </c>
      <c r="AR404">
        <v>0</v>
      </c>
      <c r="AS404">
        <v>6.246260250201036</v>
      </c>
      <c r="AT404">
        <v>0</v>
      </c>
      <c r="AU404">
        <v>0</v>
      </c>
      <c r="AV404">
        <v>0.06153996340789856</v>
      </c>
      <c r="AW404">
        <v>1</v>
      </c>
    </row>
    <row r="405" spans="2:49" ht="12.75">
      <c r="B405" s="3" t="s">
        <v>15</v>
      </c>
      <c r="C405">
        <v>21</v>
      </c>
      <c r="G405" s="19">
        <v>0</v>
      </c>
      <c r="H405" s="4">
        <v>0</v>
      </c>
      <c r="I405" s="4">
        <v>0</v>
      </c>
      <c r="J405" s="4">
        <v>0</v>
      </c>
      <c r="K405" s="4">
        <v>0</v>
      </c>
      <c r="L405" s="4">
        <v>0</v>
      </c>
      <c r="M405" s="4">
        <v>0</v>
      </c>
      <c r="N405" s="27">
        <v>0</v>
      </c>
      <c r="O405" s="4">
        <v>0.08047541929011058</v>
      </c>
      <c r="P405" s="4">
        <v>0</v>
      </c>
      <c r="Q405" s="4">
        <v>0.003050732177728232</v>
      </c>
      <c r="R405" s="4">
        <v>0</v>
      </c>
      <c r="S405" s="4">
        <v>0</v>
      </c>
      <c r="T405" s="4">
        <v>0</v>
      </c>
      <c r="U405" s="4">
        <v>0</v>
      </c>
      <c r="V405" s="17">
        <v>0.0005029355003591783</v>
      </c>
      <c r="W405" s="17">
        <v>0.084029086968198</v>
      </c>
      <c r="X405" s="18">
        <v>20.335039046303915</v>
      </c>
      <c r="Y405" s="18"/>
      <c r="Z405" s="19">
        <v>0</v>
      </c>
      <c r="AA405" s="4">
        <v>0</v>
      </c>
      <c r="AB405" s="19">
        <v>0</v>
      </c>
      <c r="AC405" s="4">
        <v>0</v>
      </c>
      <c r="AD405" s="4">
        <v>0</v>
      </c>
      <c r="AE405" s="4">
        <v>0</v>
      </c>
      <c r="AF405" s="4">
        <v>0</v>
      </c>
      <c r="AG405" s="4">
        <v>0</v>
      </c>
      <c r="AH405" s="19">
        <v>0.007947793821336738</v>
      </c>
      <c r="AI405" s="17">
        <v>0</v>
      </c>
      <c r="AJ405" s="4">
        <v>8.840853219646036E-05</v>
      </c>
      <c r="AK405" s="4">
        <v>0</v>
      </c>
      <c r="AL405" s="4">
        <v>0</v>
      </c>
      <c r="AM405" s="4">
        <v>0</v>
      </c>
      <c r="AN405" s="4">
        <v>0</v>
      </c>
      <c r="AO405" s="4">
        <v>3.1667677960474973E-06</v>
      </c>
      <c r="AP405" s="6">
        <v>0.008039369121329246</v>
      </c>
      <c r="AQ405">
        <v>0.021744392471219544</v>
      </c>
      <c r="AR405">
        <v>0</v>
      </c>
      <c r="AS405">
        <v>0.4421730699404063</v>
      </c>
      <c r="AT405">
        <v>0</v>
      </c>
      <c r="AU405">
        <v>0</v>
      </c>
      <c r="AV405">
        <v>0.021744392471219544</v>
      </c>
      <c r="AW405">
        <v>1</v>
      </c>
    </row>
    <row r="406" spans="2:49" ht="12.75">
      <c r="B406" s="3" t="s">
        <v>16</v>
      </c>
      <c r="C406">
        <v>44</v>
      </c>
      <c r="G406" s="19">
        <v>0</v>
      </c>
      <c r="H406" s="4">
        <v>0</v>
      </c>
      <c r="I406" s="4">
        <v>0</v>
      </c>
      <c r="J406" s="4">
        <v>0</v>
      </c>
      <c r="K406" s="4">
        <v>0</v>
      </c>
      <c r="L406" s="4">
        <v>0</v>
      </c>
      <c r="M406" s="4">
        <v>0</v>
      </c>
      <c r="N406" s="27">
        <v>0</v>
      </c>
      <c r="O406" s="4">
        <v>0.11854718818673027</v>
      </c>
      <c r="P406" s="4">
        <v>0</v>
      </c>
      <c r="Q406" s="4">
        <v>0.05219376016607359</v>
      </c>
      <c r="R406" s="4">
        <v>0</v>
      </c>
      <c r="S406" s="4">
        <v>0</v>
      </c>
      <c r="T406" s="4">
        <v>0</v>
      </c>
      <c r="U406" s="4">
        <v>0</v>
      </c>
      <c r="V406" s="17">
        <v>0.00034141632447269577</v>
      </c>
      <c r="W406" s="17">
        <v>0.17108236467727653</v>
      </c>
      <c r="X406" s="18">
        <v>41.40193225190092</v>
      </c>
      <c r="Y406" s="18"/>
      <c r="Z406" s="19">
        <v>0</v>
      </c>
      <c r="AA406" s="4">
        <v>0</v>
      </c>
      <c r="AB406" s="19">
        <v>0</v>
      </c>
      <c r="AC406" s="4">
        <v>0</v>
      </c>
      <c r="AD406" s="4">
        <v>0</v>
      </c>
      <c r="AE406" s="4">
        <v>0</v>
      </c>
      <c r="AF406" s="4">
        <v>0</v>
      </c>
      <c r="AG406" s="4">
        <v>0</v>
      </c>
      <c r="AH406" s="19">
        <v>0.017246565054807955</v>
      </c>
      <c r="AI406" s="17">
        <v>0</v>
      </c>
      <c r="AJ406" s="4">
        <v>0.025877551755434332</v>
      </c>
      <c r="AK406" s="4">
        <v>0</v>
      </c>
      <c r="AL406" s="4">
        <v>0</v>
      </c>
      <c r="AM406" s="4">
        <v>0</v>
      </c>
      <c r="AN406" s="4">
        <v>0</v>
      </c>
      <c r="AO406" s="4">
        <v>1.4593524822508325E-06</v>
      </c>
      <c r="AP406" s="6">
        <v>0.04312557616272454</v>
      </c>
      <c r="AQ406">
        <v>0.16303480674872914</v>
      </c>
      <c r="AR406">
        <v>0</v>
      </c>
      <c r="AS406">
        <v>6.749956023712643</v>
      </c>
      <c r="AT406">
        <v>0</v>
      </c>
      <c r="AU406">
        <v>0</v>
      </c>
      <c r="AV406">
        <v>0.16303480674872914</v>
      </c>
      <c r="AW406">
        <v>1</v>
      </c>
    </row>
    <row r="407" spans="2:49" ht="12.75">
      <c r="B407" s="3" t="s">
        <v>17</v>
      </c>
      <c r="C407">
        <v>8</v>
      </c>
      <c r="G407" s="19">
        <v>0</v>
      </c>
      <c r="H407" s="4">
        <v>0</v>
      </c>
      <c r="I407" s="4">
        <v>0</v>
      </c>
      <c r="J407" s="4">
        <v>0</v>
      </c>
      <c r="K407" s="4">
        <v>0</v>
      </c>
      <c r="L407" s="4">
        <v>0</v>
      </c>
      <c r="M407" s="4">
        <v>0</v>
      </c>
      <c r="N407" s="27">
        <v>0</v>
      </c>
      <c r="O407" s="4">
        <v>0.023614024058364207</v>
      </c>
      <c r="P407" s="4">
        <v>0</v>
      </c>
      <c r="Q407" s="4">
        <v>0.010396743500290927</v>
      </c>
      <c r="R407" s="4">
        <v>0</v>
      </c>
      <c r="S407" s="4">
        <v>0</v>
      </c>
      <c r="T407" s="4">
        <v>0</v>
      </c>
      <c r="U407" s="4">
        <v>0</v>
      </c>
      <c r="V407" s="17">
        <v>0.0017139791662467774</v>
      </c>
      <c r="W407" s="17">
        <v>0.03572474672490191</v>
      </c>
      <c r="X407" s="18">
        <v>8.645388707426262</v>
      </c>
      <c r="Y407" s="18"/>
      <c r="Z407" s="19">
        <v>0</v>
      </c>
      <c r="AA407" s="4">
        <v>0</v>
      </c>
      <c r="AB407" s="19">
        <v>0</v>
      </c>
      <c r="AC407" s="4">
        <v>0</v>
      </c>
      <c r="AD407" s="4">
        <v>0</v>
      </c>
      <c r="AE407" s="4">
        <v>0</v>
      </c>
      <c r="AF407" s="4">
        <v>0</v>
      </c>
      <c r="AG407" s="4">
        <v>0</v>
      </c>
      <c r="AH407" s="19">
        <v>0.0006843213643901384</v>
      </c>
      <c r="AI407" s="17">
        <v>0</v>
      </c>
      <c r="AJ407" s="4">
        <v>0.0010267877382005694</v>
      </c>
      <c r="AK407" s="4">
        <v>0</v>
      </c>
      <c r="AL407" s="4">
        <v>0</v>
      </c>
      <c r="AM407" s="4">
        <v>0</v>
      </c>
      <c r="AN407" s="4">
        <v>0</v>
      </c>
      <c r="AO407" s="4">
        <v>3.677923682167179E-05</v>
      </c>
      <c r="AP407" s="6">
        <v>0.0017478883394123797</v>
      </c>
      <c r="AQ407">
        <v>0.04817904639909957</v>
      </c>
      <c r="AR407">
        <v>0</v>
      </c>
      <c r="AS407">
        <v>0.41652658367334133</v>
      </c>
      <c r="AT407">
        <v>0</v>
      </c>
      <c r="AU407">
        <v>0</v>
      </c>
      <c r="AV407">
        <v>0.04817904639909957</v>
      </c>
      <c r="AW407">
        <v>1</v>
      </c>
    </row>
    <row r="408" spans="2:49" ht="12.75">
      <c r="B408" s="3" t="s">
        <v>18</v>
      </c>
      <c r="C408">
        <v>5</v>
      </c>
      <c r="G408" s="19">
        <v>0</v>
      </c>
      <c r="H408" s="4">
        <v>0</v>
      </c>
      <c r="I408" s="4">
        <v>0</v>
      </c>
      <c r="J408" s="4">
        <v>0</v>
      </c>
      <c r="K408" s="4">
        <v>0</v>
      </c>
      <c r="L408" s="4">
        <v>0</v>
      </c>
      <c r="M408" s="4">
        <v>0</v>
      </c>
      <c r="N408" s="27">
        <v>0</v>
      </c>
      <c r="O408" s="4">
        <v>0.01748546066433924</v>
      </c>
      <c r="P408" s="4">
        <v>0</v>
      </c>
      <c r="Q408" s="4">
        <v>0.0006628540486232204</v>
      </c>
      <c r="R408" s="4">
        <v>0</v>
      </c>
      <c r="S408" s="4">
        <v>0</v>
      </c>
      <c r="T408" s="4">
        <v>0</v>
      </c>
      <c r="U408" s="4">
        <v>0</v>
      </c>
      <c r="V408" s="17">
        <v>0.0023147199861786364</v>
      </c>
      <c r="W408" s="17">
        <v>0.020463034699141097</v>
      </c>
      <c r="X408" s="18">
        <v>4.952054397192145</v>
      </c>
      <c r="Y408" s="18"/>
      <c r="Z408" s="19">
        <v>0</v>
      </c>
      <c r="AA408" s="4">
        <v>0</v>
      </c>
      <c r="AB408" s="19">
        <v>0</v>
      </c>
      <c r="AC408" s="4">
        <v>0</v>
      </c>
      <c r="AD408" s="4">
        <v>0</v>
      </c>
      <c r="AE408" s="4">
        <v>0</v>
      </c>
      <c r="AF408" s="4">
        <v>0</v>
      </c>
      <c r="AG408" s="4">
        <v>0</v>
      </c>
      <c r="AH408" s="19">
        <v>0.0003752098691596151</v>
      </c>
      <c r="AI408" s="17">
        <v>0</v>
      </c>
      <c r="AJ408" s="4">
        <v>4.173705879104998E-06</v>
      </c>
      <c r="AK408" s="4">
        <v>0</v>
      </c>
      <c r="AL408" s="4">
        <v>0</v>
      </c>
      <c r="AM408" s="4">
        <v>0</v>
      </c>
      <c r="AN408" s="4">
        <v>0</v>
      </c>
      <c r="AO408" s="4">
        <v>6.707930572137371E-05</v>
      </c>
      <c r="AP408" s="6">
        <v>0.00044646288076009383</v>
      </c>
      <c r="AQ408">
        <v>0.0004642075074764903</v>
      </c>
      <c r="AR408">
        <v>0</v>
      </c>
      <c r="AS408">
        <v>0.0022987808286085596</v>
      </c>
      <c r="AT408">
        <v>0</v>
      </c>
      <c r="AU408">
        <v>0</v>
      </c>
      <c r="AV408">
        <v>0.0004642075074764903</v>
      </c>
      <c r="AW408">
        <v>1</v>
      </c>
    </row>
    <row r="409" spans="2:49" ht="12.75">
      <c r="B409" s="16" t="s">
        <v>19</v>
      </c>
      <c r="C409">
        <v>1</v>
      </c>
      <c r="G409" s="19">
        <v>0</v>
      </c>
      <c r="H409" s="4">
        <v>0</v>
      </c>
      <c r="I409" s="4">
        <v>0</v>
      </c>
      <c r="J409" s="4">
        <v>0</v>
      </c>
      <c r="K409" s="4">
        <v>0</v>
      </c>
      <c r="L409" s="4">
        <v>0</v>
      </c>
      <c r="M409" s="4">
        <v>0</v>
      </c>
      <c r="N409" s="27">
        <v>0</v>
      </c>
      <c r="O409" s="4">
        <v>0.003483018830854957</v>
      </c>
      <c r="P409" s="4">
        <v>0</v>
      </c>
      <c r="Q409" s="4">
        <v>0.0001320373067534717</v>
      </c>
      <c r="R409" s="4">
        <v>0</v>
      </c>
      <c r="S409" s="4">
        <v>0</v>
      </c>
      <c r="T409" s="4">
        <v>0</v>
      </c>
      <c r="U409" s="4">
        <v>0</v>
      </c>
      <c r="V409" s="17">
        <v>0.01162036360778202</v>
      </c>
      <c r="W409" s="17">
        <v>0.015235419745390449</v>
      </c>
      <c r="X409" s="18">
        <v>3.6869715783844885</v>
      </c>
      <c r="Y409" s="18"/>
      <c r="Z409" s="19">
        <v>0</v>
      </c>
      <c r="AA409" s="4">
        <v>0</v>
      </c>
      <c r="AB409" s="19">
        <v>0</v>
      </c>
      <c r="AC409" s="4">
        <v>0</v>
      </c>
      <c r="AD409" s="4">
        <v>0</v>
      </c>
      <c r="AE409" s="4">
        <v>0</v>
      </c>
      <c r="AF409" s="4">
        <v>0</v>
      </c>
      <c r="AG409" s="4">
        <v>0</v>
      </c>
      <c r="AH409" s="19">
        <v>1.4887841653104888E-05</v>
      </c>
      <c r="AI409" s="17">
        <v>0</v>
      </c>
      <c r="AJ409" s="4">
        <v>1.6560724368450637E-07</v>
      </c>
      <c r="AK409" s="4">
        <v>0</v>
      </c>
      <c r="AL409" s="4">
        <v>0</v>
      </c>
      <c r="AM409" s="4">
        <v>0</v>
      </c>
      <c r="AN409" s="4">
        <v>0</v>
      </c>
      <c r="AO409" s="4">
        <v>0.0016905618765622383</v>
      </c>
      <c r="AP409" s="6">
        <v>0.0017056153254590277</v>
      </c>
      <c r="AQ409">
        <v>1.9581968858597816</v>
      </c>
      <c r="AR409">
        <v>1</v>
      </c>
      <c r="AS409">
        <v>7.219816263046029</v>
      </c>
      <c r="AT409">
        <v>3.6869715783844885</v>
      </c>
      <c r="AU409">
        <v>1</v>
      </c>
      <c r="AV409">
        <v>0</v>
      </c>
      <c r="AW409">
        <v>0</v>
      </c>
    </row>
    <row r="410" spans="2:49" ht="12.75">
      <c r="B410" s="16" t="s">
        <v>20</v>
      </c>
      <c r="C410">
        <v>2</v>
      </c>
      <c r="G410" s="19">
        <v>0</v>
      </c>
      <c r="H410" s="4">
        <v>0</v>
      </c>
      <c r="I410" s="4">
        <v>0</v>
      </c>
      <c r="J410" s="4">
        <v>0</v>
      </c>
      <c r="K410" s="4">
        <v>0</v>
      </c>
      <c r="L410" s="4">
        <v>0</v>
      </c>
      <c r="M410" s="4">
        <v>0</v>
      </c>
      <c r="N410" s="27">
        <v>0</v>
      </c>
      <c r="O410" s="4">
        <v>0.005130785181880107</v>
      </c>
      <c r="P410" s="4">
        <v>0</v>
      </c>
      <c r="Q410" s="4">
        <v>0.002258973623439097</v>
      </c>
      <c r="R410" s="4">
        <v>0</v>
      </c>
      <c r="S410" s="4">
        <v>0</v>
      </c>
      <c r="T410" s="4">
        <v>0</v>
      </c>
      <c r="U410" s="4">
        <v>0</v>
      </c>
      <c r="V410" s="17">
        <v>0.007888450565076142</v>
      </c>
      <c r="W410" s="17">
        <v>0.015278209370395346</v>
      </c>
      <c r="X410" s="18">
        <v>3.6973266676356737</v>
      </c>
      <c r="Y410" s="18"/>
      <c r="Z410" s="19">
        <v>0</v>
      </c>
      <c r="AA410" s="4">
        <v>0</v>
      </c>
      <c r="AB410" s="19">
        <v>0</v>
      </c>
      <c r="AC410" s="4">
        <v>0</v>
      </c>
      <c r="AD410" s="4">
        <v>0</v>
      </c>
      <c r="AE410" s="4">
        <v>0</v>
      </c>
      <c r="AF410" s="4">
        <v>0</v>
      </c>
      <c r="AG410" s="4">
        <v>0</v>
      </c>
      <c r="AH410" s="19">
        <v>3.230634001937006E-05</v>
      </c>
      <c r="AI410" s="17">
        <v>0</v>
      </c>
      <c r="AJ410" s="4">
        <v>4.8473941519551886E-05</v>
      </c>
      <c r="AK410" s="4">
        <v>0</v>
      </c>
      <c r="AL410" s="4">
        <v>0</v>
      </c>
      <c r="AM410" s="4">
        <v>0</v>
      </c>
      <c r="AN410" s="4">
        <v>0</v>
      </c>
      <c r="AO410" s="4">
        <v>0.000779067437163847</v>
      </c>
      <c r="AP410" s="6">
        <v>0.000859847718702769</v>
      </c>
      <c r="AQ410">
        <v>0.7791894186372985</v>
      </c>
      <c r="AR410">
        <v>1</v>
      </c>
      <c r="AS410">
        <v>2.8809178166672207</v>
      </c>
      <c r="AT410">
        <v>3.6973266676356737</v>
      </c>
      <c r="AU410">
        <v>2</v>
      </c>
      <c r="AV410">
        <v>0</v>
      </c>
      <c r="AW410">
        <v>0</v>
      </c>
    </row>
    <row r="411" spans="2:49" ht="13.5" thickBot="1">
      <c r="B411" s="12" t="s">
        <v>21</v>
      </c>
      <c r="C411">
        <v>10</v>
      </c>
      <c r="G411" s="19">
        <v>0</v>
      </c>
      <c r="H411" s="4">
        <v>0</v>
      </c>
      <c r="I411" s="4">
        <v>0</v>
      </c>
      <c r="J411" s="4">
        <v>0</v>
      </c>
      <c r="K411" s="4">
        <v>0</v>
      </c>
      <c r="L411" s="4">
        <v>0</v>
      </c>
      <c r="M411" s="4">
        <v>0</v>
      </c>
      <c r="N411" s="27">
        <v>0</v>
      </c>
      <c r="O411" s="4">
        <v>0.0010220274860705421</v>
      </c>
      <c r="P411" s="4">
        <v>0</v>
      </c>
      <c r="Q411" s="4">
        <v>0.0004499765731016475</v>
      </c>
      <c r="R411" s="4">
        <v>0</v>
      </c>
      <c r="S411" s="4">
        <v>0</v>
      </c>
      <c r="T411" s="4">
        <v>0</v>
      </c>
      <c r="U411" s="4">
        <v>0</v>
      </c>
      <c r="V411" s="17">
        <v>0.03960162110991684</v>
      </c>
      <c r="W411" s="17">
        <v>0.04107362516908903</v>
      </c>
      <c r="X411" s="18">
        <v>9.939817290919546</v>
      </c>
      <c r="Y411" s="18"/>
      <c r="Z411" s="19">
        <v>0</v>
      </c>
      <c r="AA411" s="4">
        <v>0</v>
      </c>
      <c r="AB411" s="19">
        <v>0</v>
      </c>
      <c r="AC411" s="4">
        <v>0</v>
      </c>
      <c r="AD411" s="4">
        <v>0</v>
      </c>
      <c r="AE411" s="4">
        <v>0</v>
      </c>
      <c r="AF411" s="4">
        <v>0</v>
      </c>
      <c r="AG411" s="4">
        <v>0</v>
      </c>
      <c r="AH411" s="19">
        <v>1.2818737302326674E-06</v>
      </c>
      <c r="AI411" s="17">
        <v>0</v>
      </c>
      <c r="AJ411" s="4">
        <v>1.9233832182008887E-06</v>
      </c>
      <c r="AK411" s="4">
        <v>0</v>
      </c>
      <c r="AL411" s="4">
        <v>0</v>
      </c>
      <c r="AM411" s="4">
        <v>0</v>
      </c>
      <c r="AN411" s="4">
        <v>0</v>
      </c>
      <c r="AO411" s="4">
        <v>0.019634396843803147</v>
      </c>
      <c r="AP411" s="6">
        <v>0.01963760210075158</v>
      </c>
      <c r="AQ411">
        <v>0.0003643888379690225</v>
      </c>
      <c r="AR411">
        <v>0</v>
      </c>
      <c r="AS411">
        <v>0.003621958472262571</v>
      </c>
      <c r="AT411">
        <v>0</v>
      </c>
      <c r="AU411">
        <v>0</v>
      </c>
      <c r="AV411">
        <v>0.0003643888379690225</v>
      </c>
      <c r="AW411">
        <v>1</v>
      </c>
    </row>
    <row r="412" spans="3:50" ht="12.75">
      <c r="C412" s="2">
        <v>242</v>
      </c>
      <c r="D412" s="2">
        <v>0</v>
      </c>
      <c r="E412" s="2">
        <v>0</v>
      </c>
      <c r="F412" s="2">
        <v>0</v>
      </c>
      <c r="G412" s="33">
        <v>0</v>
      </c>
      <c r="H412" s="2">
        <v>0</v>
      </c>
      <c r="I412" s="2">
        <v>0</v>
      </c>
      <c r="J412" s="2">
        <v>0</v>
      </c>
      <c r="K412" s="2">
        <v>0</v>
      </c>
      <c r="L412" s="2">
        <v>0</v>
      </c>
      <c r="M412" s="2">
        <v>0</v>
      </c>
      <c r="N412" s="29">
        <v>0</v>
      </c>
      <c r="O412" s="2">
        <v>0.8148541916793025</v>
      </c>
      <c r="P412" s="2">
        <v>0</v>
      </c>
      <c r="Q412" s="2">
        <v>0.10527226941789523</v>
      </c>
      <c r="R412" s="2">
        <v>0</v>
      </c>
      <c r="S412" s="2">
        <v>0</v>
      </c>
      <c r="T412" s="2">
        <v>0</v>
      </c>
      <c r="U412" s="2">
        <v>0</v>
      </c>
      <c r="V412" s="32">
        <v>0.0798745389028022</v>
      </c>
      <c r="W412" s="32">
        <v>1.000001</v>
      </c>
      <c r="X412" s="32">
        <v>242.00024199999993</v>
      </c>
      <c r="Y412" s="32"/>
      <c r="Z412" s="33">
        <v>0</v>
      </c>
      <c r="AA412" s="2">
        <v>0</v>
      </c>
      <c r="AB412" s="2">
        <v>0</v>
      </c>
      <c r="AC412" s="2">
        <v>0</v>
      </c>
      <c r="AD412" s="2">
        <v>0</v>
      </c>
      <c r="AE412" s="2">
        <v>0</v>
      </c>
      <c r="AF412" s="2">
        <v>0</v>
      </c>
      <c r="AG412" s="2">
        <v>0</v>
      </c>
      <c r="AH412" s="2">
        <v>0.24036519652200847</v>
      </c>
      <c r="AI412" s="2">
        <v>0</v>
      </c>
      <c r="AJ412" s="2">
        <v>0.031053150349269948</v>
      </c>
      <c r="AK412" s="2">
        <v>0</v>
      </c>
      <c r="AL412" s="2">
        <v>0</v>
      </c>
      <c r="AM412" s="2">
        <v>0</v>
      </c>
      <c r="AN412" s="2">
        <v>0</v>
      </c>
      <c r="AO412" s="2">
        <v>0.02356134316608256</v>
      </c>
      <c r="AP412" s="2">
        <v>0.294979690037361</v>
      </c>
      <c r="AQ412" s="36">
        <v>16.2143613027369</v>
      </c>
      <c r="AR412" s="36">
        <v>7</v>
      </c>
      <c r="AT412">
        <v>15.00368605481203</v>
      </c>
      <c r="AU412">
        <v>15</v>
      </c>
      <c r="AV412" s="36">
        <v>0.9288411827745493</v>
      </c>
      <c r="AW412" s="36">
        <v>9</v>
      </c>
      <c r="AX412" t="s">
        <v>64</v>
      </c>
    </row>
    <row r="413" spans="13:48" ht="12.75">
      <c r="M413" s="15"/>
      <c r="N413" s="15"/>
      <c r="AQ413" t="s">
        <v>38</v>
      </c>
      <c r="AU413" s="36">
        <v>9.055774712731937E-07</v>
      </c>
      <c r="AV413" s="41">
        <v>0.9288420883520205</v>
      </c>
    </row>
    <row r="414" spans="5:47" ht="12.75">
      <c r="E414" t="s">
        <v>106</v>
      </c>
      <c r="F414">
        <v>0</v>
      </c>
      <c r="M414" s="15"/>
      <c r="N414" s="15"/>
      <c r="AP414" t="s">
        <v>106</v>
      </c>
      <c r="AU414" t="s">
        <v>61</v>
      </c>
    </row>
    <row r="418" ht="12.75">
      <c r="A418" t="s">
        <v>80</v>
      </c>
    </row>
    <row r="419" ht="12.75">
      <c r="E419" t="s">
        <v>49</v>
      </c>
    </row>
    <row r="420" spans="2:3" ht="12.75">
      <c r="B420" t="s">
        <v>98</v>
      </c>
      <c r="C420" s="48">
        <v>0.11452355521819965</v>
      </c>
    </row>
    <row r="421" spans="2:26" ht="12.75">
      <c r="B421" t="s">
        <v>99</v>
      </c>
      <c r="C421" s="48">
        <v>0.04959899197718485</v>
      </c>
      <c r="O421" t="s">
        <v>81</v>
      </c>
      <c r="Z421" s="21" t="s">
        <v>34</v>
      </c>
    </row>
    <row r="422" spans="2:3" ht="12.75">
      <c r="B422" t="s">
        <v>100</v>
      </c>
      <c r="C422" s="48">
        <v>0.05549705310618874</v>
      </c>
    </row>
    <row r="423" spans="2:42" ht="12.75">
      <c r="B423" t="s">
        <v>5</v>
      </c>
      <c r="C423" s="48">
        <v>0.23494917439921195</v>
      </c>
      <c r="G423" s="21" t="s">
        <v>107</v>
      </c>
      <c r="O423" s="42"/>
      <c r="Z423" s="21" t="s">
        <v>101</v>
      </c>
      <c r="AP423" t="s">
        <v>108</v>
      </c>
    </row>
    <row r="424" spans="23:43" ht="12.75">
      <c r="W424" s="30" t="s">
        <v>22</v>
      </c>
      <c r="X424" s="15" t="s">
        <v>2</v>
      </c>
      <c r="AP424" t="s">
        <v>22</v>
      </c>
      <c r="AQ424" t="s">
        <v>37</v>
      </c>
    </row>
    <row r="425" spans="5:52" ht="12.75">
      <c r="E425" s="2"/>
      <c r="F425" s="2"/>
      <c r="G425" s="38">
        <v>0</v>
      </c>
      <c r="H425" s="5">
        <v>0</v>
      </c>
      <c r="I425" s="5">
        <v>0</v>
      </c>
      <c r="J425" s="5">
        <v>0</v>
      </c>
      <c r="K425" s="5">
        <v>0</v>
      </c>
      <c r="L425" s="5">
        <v>0</v>
      </c>
      <c r="M425" s="5">
        <v>0</v>
      </c>
      <c r="N425" s="5">
        <v>0</v>
      </c>
      <c r="O425" s="38">
        <v>0.6049326480421671</v>
      </c>
      <c r="P425" s="38">
        <v>0.10485550884180102</v>
      </c>
      <c r="Q425" s="38">
        <v>0.22561726719582578</v>
      </c>
      <c r="R425" s="38">
        <v>0.06459457592020645</v>
      </c>
      <c r="S425" s="5">
        <v>0</v>
      </c>
      <c r="T425" s="5">
        <v>0</v>
      </c>
      <c r="U425" s="5">
        <v>0</v>
      </c>
      <c r="V425" s="38">
        <v>0</v>
      </c>
      <c r="W425" s="17">
        <v>1</v>
      </c>
      <c r="X425" s="15" t="s">
        <v>97</v>
      </c>
      <c r="Z425" s="34">
        <v>0</v>
      </c>
      <c r="AA425" s="8">
        <v>0</v>
      </c>
      <c r="AB425" s="8">
        <v>0</v>
      </c>
      <c r="AC425" s="8">
        <v>0</v>
      </c>
      <c r="AD425" s="8">
        <v>0</v>
      </c>
      <c r="AE425" s="8">
        <v>0</v>
      </c>
      <c r="AF425" s="8">
        <v>0</v>
      </c>
      <c r="AG425" s="8">
        <v>0</v>
      </c>
      <c r="AH425" s="34">
        <v>0.6049326480421671</v>
      </c>
      <c r="AI425" s="35">
        <v>0.10485550884180102</v>
      </c>
      <c r="AJ425" s="8">
        <v>0.22561726719582578</v>
      </c>
      <c r="AK425" s="8">
        <v>0.06459457592020645</v>
      </c>
      <c r="AL425" s="8">
        <v>0</v>
      </c>
      <c r="AM425" s="8">
        <v>0</v>
      </c>
      <c r="AN425" s="8">
        <v>0</v>
      </c>
      <c r="AO425" s="8">
        <v>0</v>
      </c>
      <c r="AP425" s="6">
        <v>1</v>
      </c>
      <c r="AX425" s="53" t="s">
        <v>90</v>
      </c>
      <c r="AY425" s="53" t="s">
        <v>91</v>
      </c>
      <c r="AZ425" s="53"/>
    </row>
    <row r="426" spans="2:52" ht="12.75">
      <c r="B426" t="s">
        <v>1</v>
      </c>
      <c r="C426" t="s">
        <v>102</v>
      </c>
      <c r="D426" t="s">
        <v>103</v>
      </c>
      <c r="E426" t="s">
        <v>104</v>
      </c>
      <c r="F426" t="s">
        <v>105</v>
      </c>
      <c r="G426" s="23" t="s">
        <v>6</v>
      </c>
      <c r="H426" s="7" t="s">
        <v>8</v>
      </c>
      <c r="I426" s="7" t="s">
        <v>9</v>
      </c>
      <c r="J426" s="7" t="s">
        <v>10</v>
      </c>
      <c r="K426" s="7" t="s">
        <v>11</v>
      </c>
      <c r="L426" s="7" t="s">
        <v>12</v>
      </c>
      <c r="M426" s="7" t="s">
        <v>13</v>
      </c>
      <c r="N426" s="26" t="s">
        <v>14</v>
      </c>
      <c r="O426" s="7" t="s">
        <v>7</v>
      </c>
      <c r="P426" s="7" t="s">
        <v>15</v>
      </c>
      <c r="Q426" s="7" t="s">
        <v>16</v>
      </c>
      <c r="R426" s="7" t="s">
        <v>17</v>
      </c>
      <c r="S426" s="7" t="s">
        <v>18</v>
      </c>
      <c r="T426" s="7" t="s">
        <v>19</v>
      </c>
      <c r="U426" s="7" t="s">
        <v>20</v>
      </c>
      <c r="V426" s="31" t="s">
        <v>21</v>
      </c>
      <c r="W426" s="31"/>
      <c r="Z426" s="23" t="s">
        <v>6</v>
      </c>
      <c r="AA426" s="7" t="s">
        <v>8</v>
      </c>
      <c r="AB426" s="7" t="s">
        <v>9</v>
      </c>
      <c r="AC426" s="7" t="s">
        <v>10</v>
      </c>
      <c r="AD426" s="7" t="s">
        <v>11</v>
      </c>
      <c r="AE426" s="7" t="s">
        <v>12</v>
      </c>
      <c r="AF426" s="7" t="s">
        <v>13</v>
      </c>
      <c r="AG426" s="26" t="s">
        <v>14</v>
      </c>
      <c r="AH426" s="7" t="s">
        <v>7</v>
      </c>
      <c r="AI426" s="7" t="s">
        <v>15</v>
      </c>
      <c r="AJ426" s="7" t="s">
        <v>16</v>
      </c>
      <c r="AK426" s="7" t="s">
        <v>17</v>
      </c>
      <c r="AL426" s="7" t="s">
        <v>18</v>
      </c>
      <c r="AM426" s="7" t="s">
        <v>19</v>
      </c>
      <c r="AN426" s="7" t="s">
        <v>20</v>
      </c>
      <c r="AO426" s="31" t="s">
        <v>21</v>
      </c>
      <c r="AP426" s="6"/>
      <c r="AR426" t="s">
        <v>65</v>
      </c>
      <c r="AS426" t="s">
        <v>59</v>
      </c>
      <c r="AT426" t="s">
        <v>60</v>
      </c>
      <c r="AU426" t="s">
        <v>62</v>
      </c>
      <c r="AW426" t="s">
        <v>63</v>
      </c>
      <c r="AX426" s="53"/>
      <c r="AY426" s="53"/>
      <c r="AZ426" s="53"/>
    </row>
    <row r="427" spans="2:52" ht="12.75">
      <c r="B427" s="16" t="s">
        <v>6</v>
      </c>
      <c r="C427">
        <v>27</v>
      </c>
      <c r="G427" s="19">
        <v>0</v>
      </c>
      <c r="H427" s="4">
        <v>0</v>
      </c>
      <c r="I427" s="4">
        <v>0</v>
      </c>
      <c r="J427" s="4">
        <v>0</v>
      </c>
      <c r="K427" s="4">
        <v>0</v>
      </c>
      <c r="L427" s="4">
        <v>0</v>
      </c>
      <c r="M427" s="4">
        <v>0</v>
      </c>
      <c r="N427" s="27">
        <v>0</v>
      </c>
      <c r="O427" s="4">
        <v>0.11297131015232224</v>
      </c>
      <c r="P427" s="4">
        <v>0.001150585771350349</v>
      </c>
      <c r="Q427" s="4">
        <v>0.0021988694120671235</v>
      </c>
      <c r="R427" s="4">
        <v>3.6990462394981296E-05</v>
      </c>
      <c r="S427" s="4">
        <v>0</v>
      </c>
      <c r="T427" s="4">
        <v>0</v>
      </c>
      <c r="U427" s="4">
        <v>0</v>
      </c>
      <c r="V427" s="17">
        <v>0</v>
      </c>
      <c r="W427" s="17">
        <v>0.1163577557981347</v>
      </c>
      <c r="X427" s="18">
        <v>28.1585769031486</v>
      </c>
      <c r="Y427" s="18"/>
      <c r="Z427" s="19">
        <v>0</v>
      </c>
      <c r="AA427" s="4">
        <v>0</v>
      </c>
      <c r="AB427" s="4">
        <v>0</v>
      </c>
      <c r="AC427" s="4">
        <v>0</v>
      </c>
      <c r="AD427" s="4">
        <v>0</v>
      </c>
      <c r="AE427" s="4">
        <v>0</v>
      </c>
      <c r="AF427" s="4">
        <v>0</v>
      </c>
      <c r="AG427" s="4">
        <v>0</v>
      </c>
      <c r="AH427" s="19">
        <v>0.021097417966838797</v>
      </c>
      <c r="AI427" s="17">
        <v>1.2625446501158184E-05</v>
      </c>
      <c r="AJ427" s="4">
        <v>2.1430215654229283E-05</v>
      </c>
      <c r="AK427" s="4">
        <v>2.118280503745046E-08</v>
      </c>
      <c r="AL427" s="4">
        <v>0</v>
      </c>
      <c r="AM427" s="4">
        <v>0</v>
      </c>
      <c r="AN427" s="4">
        <v>0</v>
      </c>
      <c r="AO427" s="4">
        <v>0</v>
      </c>
      <c r="AP427" s="6">
        <v>0.021131494811799222</v>
      </c>
      <c r="AQ427">
        <v>0.04766932807457708</v>
      </c>
      <c r="AR427">
        <v>0</v>
      </c>
      <c r="AS427">
        <v>1.3423004405093992</v>
      </c>
      <c r="AT427">
        <v>0</v>
      </c>
      <c r="AU427">
        <v>0</v>
      </c>
      <c r="AV427">
        <v>0.04766932807457708</v>
      </c>
      <c r="AW427">
        <v>1</v>
      </c>
      <c r="AX427" s="53">
        <f>100*(C431+C432+C433+C434+C439+C440+C441+C442)/C443</f>
        <v>10.743801652892563</v>
      </c>
      <c r="AY427" s="53">
        <f>100*(X431+X432+X433+X434+X439+X440+X441+X442)/X443</f>
        <v>11.45235552181997</v>
      </c>
      <c r="AZ427" s="53" t="s">
        <v>93</v>
      </c>
    </row>
    <row r="428" spans="2:52" ht="12.75">
      <c r="B428" s="16" t="s">
        <v>8</v>
      </c>
      <c r="C428">
        <v>5</v>
      </c>
      <c r="G428" s="19">
        <v>0</v>
      </c>
      <c r="H428" s="4">
        <v>0</v>
      </c>
      <c r="I428" s="4">
        <v>0</v>
      </c>
      <c r="J428" s="4">
        <v>0</v>
      </c>
      <c r="K428" s="4">
        <v>0</v>
      </c>
      <c r="L428" s="4">
        <v>0</v>
      </c>
      <c r="M428" s="4">
        <v>0</v>
      </c>
      <c r="N428" s="27">
        <v>0</v>
      </c>
      <c r="O428" s="4">
        <v>0.006637962136188046</v>
      </c>
      <c r="P428" s="4">
        <v>0.019581790218935188</v>
      </c>
      <c r="Q428" s="4">
        <v>0.00012920105007230097</v>
      </c>
      <c r="R428" s="4">
        <v>0.0006295397464109404</v>
      </c>
      <c r="S428" s="4">
        <v>0</v>
      </c>
      <c r="T428" s="4">
        <v>0</v>
      </c>
      <c r="U428" s="4">
        <v>0</v>
      </c>
      <c r="V428" s="17">
        <v>0</v>
      </c>
      <c r="W428" s="17">
        <v>0.026978493151606477</v>
      </c>
      <c r="X428" s="18">
        <v>6.528795342688768</v>
      </c>
      <c r="Y428" s="18"/>
      <c r="Z428" s="19">
        <v>0</v>
      </c>
      <c r="AA428" s="4">
        <v>0</v>
      </c>
      <c r="AB428" s="4">
        <v>0</v>
      </c>
      <c r="AC428" s="4">
        <v>0</v>
      </c>
      <c r="AD428" s="4">
        <v>0</v>
      </c>
      <c r="AE428" s="4">
        <v>0</v>
      </c>
      <c r="AF428" s="4">
        <v>0</v>
      </c>
      <c r="AG428" s="4">
        <v>0</v>
      </c>
      <c r="AH428" s="19">
        <v>7.283875562688223E-05</v>
      </c>
      <c r="AI428" s="17">
        <v>0.0036569037946962263</v>
      </c>
      <c r="AJ428" s="4">
        <v>7.398773838217144E-08</v>
      </c>
      <c r="AK428" s="4">
        <v>6.135504207051761E-06</v>
      </c>
      <c r="AL428" s="4">
        <v>0</v>
      </c>
      <c r="AM428" s="4">
        <v>0</v>
      </c>
      <c r="AN428" s="4">
        <v>0</v>
      </c>
      <c r="AO428" s="4">
        <v>0</v>
      </c>
      <c r="AP428" s="6">
        <v>0.0037359520422685427</v>
      </c>
      <c r="AQ428">
        <v>0.35798567379573065</v>
      </c>
      <c r="AR428">
        <v>0</v>
      </c>
      <c r="AS428">
        <v>2.3372151998268667</v>
      </c>
      <c r="AT428">
        <v>0</v>
      </c>
      <c r="AU428">
        <v>0</v>
      </c>
      <c r="AV428">
        <v>0.35798567379573065</v>
      </c>
      <c r="AW428">
        <v>1</v>
      </c>
      <c r="AX428" s="53">
        <f>100*(C429+C430+C433+C434+C437+C438+C441+C442)/C443</f>
        <v>33.47107438016529</v>
      </c>
      <c r="AY428" s="53">
        <f>100*(X429+X430+X433+X434+X437+X438+X441+X442)/X443</f>
        <v>31.10224053364249</v>
      </c>
      <c r="AZ428" s="53" t="s">
        <v>94</v>
      </c>
    </row>
    <row r="429" spans="2:52" ht="12.75">
      <c r="B429" s="16" t="s">
        <v>9</v>
      </c>
      <c r="C429">
        <v>8</v>
      </c>
      <c r="G429" s="19">
        <v>0</v>
      </c>
      <c r="H429" s="4">
        <v>0</v>
      </c>
      <c r="I429" s="4">
        <v>0</v>
      </c>
      <c r="J429" s="4">
        <v>0</v>
      </c>
      <c r="K429" s="4">
        <v>0</v>
      </c>
      <c r="L429" s="4">
        <v>0</v>
      </c>
      <c r="M429" s="4">
        <v>0</v>
      </c>
      <c r="N429" s="27">
        <v>0</v>
      </c>
      <c r="O429" s="4">
        <v>0.005895683041786696</v>
      </c>
      <c r="P429" s="4">
        <v>6.004612154293826E-05</v>
      </c>
      <c r="Q429" s="4">
        <v>0.04213407616631451</v>
      </c>
      <c r="R429" s="4">
        <v>0.0007088001458495698</v>
      </c>
      <c r="S429" s="4">
        <v>0</v>
      </c>
      <c r="T429" s="4">
        <v>0</v>
      </c>
      <c r="U429" s="4">
        <v>0</v>
      </c>
      <c r="V429" s="17">
        <v>0</v>
      </c>
      <c r="W429" s="17">
        <v>0.048798605475493716</v>
      </c>
      <c r="X429" s="18">
        <v>11.80926252506948</v>
      </c>
      <c r="Y429" s="18"/>
      <c r="Z429" s="19">
        <v>0</v>
      </c>
      <c r="AA429" s="4">
        <v>0</v>
      </c>
      <c r="AB429" s="4">
        <v>0</v>
      </c>
      <c r="AC429" s="4">
        <v>0</v>
      </c>
      <c r="AD429" s="4">
        <v>0</v>
      </c>
      <c r="AE429" s="4">
        <v>0</v>
      </c>
      <c r="AF429" s="4">
        <v>0</v>
      </c>
      <c r="AG429" s="4">
        <v>0</v>
      </c>
      <c r="AH429" s="19">
        <v>5.745941906377044E-05</v>
      </c>
      <c r="AI429" s="17">
        <v>3.438576334400424E-08</v>
      </c>
      <c r="AJ429" s="4">
        <v>0.007868548344963013</v>
      </c>
      <c r="AK429" s="4">
        <v>7.77770640335161E-06</v>
      </c>
      <c r="AL429" s="4">
        <v>0</v>
      </c>
      <c r="AM429" s="4">
        <v>0</v>
      </c>
      <c r="AN429" s="4">
        <v>0</v>
      </c>
      <c r="AO429" s="4">
        <v>0</v>
      </c>
      <c r="AP429" s="6">
        <v>0.007933819856193479</v>
      </c>
      <c r="AQ429">
        <v>1.2287372690796656</v>
      </c>
      <c r="AR429">
        <v>0</v>
      </c>
      <c r="AS429">
        <v>14.51048098489871</v>
      </c>
      <c r="AT429">
        <v>0</v>
      </c>
      <c r="AU429">
        <v>0</v>
      </c>
      <c r="AV429">
        <v>1.2287372690796656</v>
      </c>
      <c r="AW429">
        <v>1</v>
      </c>
      <c r="AX429" s="53">
        <f>100*(C428+C430+C432+C434+C436+C438+C440+C442)/C443</f>
        <v>22.31404958677686</v>
      </c>
      <c r="AY429" s="53">
        <f>100*(X428+X430+X432+X434+X436+X438+X440+X442)/X443</f>
        <v>20.613917716242558</v>
      </c>
      <c r="AZ429" s="53" t="s">
        <v>95</v>
      </c>
    </row>
    <row r="430" spans="2:52" ht="12.75">
      <c r="B430" s="16" t="s">
        <v>10</v>
      </c>
      <c r="C430">
        <v>4</v>
      </c>
      <c r="G430" s="19">
        <v>0</v>
      </c>
      <c r="H430" s="4">
        <v>0</v>
      </c>
      <c r="I430" s="4">
        <v>0</v>
      </c>
      <c r="J430" s="4">
        <v>0</v>
      </c>
      <c r="K430" s="4">
        <v>0</v>
      </c>
      <c r="L430" s="4">
        <v>0</v>
      </c>
      <c r="M430" s="4">
        <v>0</v>
      </c>
      <c r="N430" s="27">
        <v>0</v>
      </c>
      <c r="O430" s="4">
        <v>0.000346418225526276</v>
      </c>
      <c r="P430" s="4">
        <v>0.0010219234278680059</v>
      </c>
      <c r="Q430" s="4">
        <v>0.0024757117701667167</v>
      </c>
      <c r="R430" s="4">
        <v>0.012063051802637548</v>
      </c>
      <c r="S430" s="4">
        <v>0</v>
      </c>
      <c r="T430" s="4">
        <v>0</v>
      </c>
      <c r="U430" s="4">
        <v>0</v>
      </c>
      <c r="V430" s="17">
        <v>0</v>
      </c>
      <c r="W430" s="17">
        <v>0.015907105226198547</v>
      </c>
      <c r="X430" s="18">
        <v>3.8495194647400486</v>
      </c>
      <c r="Y430" s="18"/>
      <c r="Z430" s="19">
        <v>0</v>
      </c>
      <c r="AA430" s="4">
        <v>0</v>
      </c>
      <c r="AB430" s="4">
        <v>0</v>
      </c>
      <c r="AC430" s="4">
        <v>0</v>
      </c>
      <c r="AD430" s="4">
        <v>0</v>
      </c>
      <c r="AE430" s="4">
        <v>0</v>
      </c>
      <c r="AF430" s="4">
        <v>0</v>
      </c>
      <c r="AG430" s="4">
        <v>0</v>
      </c>
      <c r="AH430" s="19">
        <v>1.9837842669785744E-07</v>
      </c>
      <c r="AI430" s="17">
        <v>9.95968169875659E-06</v>
      </c>
      <c r="AJ430" s="4">
        <v>2.7166133359917826E-05</v>
      </c>
      <c r="AK430" s="4">
        <v>0.0022527776786223372</v>
      </c>
      <c r="AL430" s="4">
        <v>0</v>
      </c>
      <c r="AM430" s="4">
        <v>0</v>
      </c>
      <c r="AN430" s="4">
        <v>0</v>
      </c>
      <c r="AO430" s="4">
        <v>0</v>
      </c>
      <c r="AP430" s="6">
        <v>0.0022901018721077095</v>
      </c>
      <c r="AQ430">
        <v>0.005882394335068162</v>
      </c>
      <c r="AR430">
        <v>1</v>
      </c>
      <c r="AS430">
        <v>0.022644391492121482</v>
      </c>
      <c r="AT430">
        <v>3.8495194647400486</v>
      </c>
      <c r="AU430">
        <v>4</v>
      </c>
      <c r="AV430">
        <v>0</v>
      </c>
      <c r="AW430">
        <v>0</v>
      </c>
      <c r="AX430" s="53">
        <f>100*(C435+C436+C437+C438+C439+C440+C441+C442)/C443</f>
        <v>78.51239669421487</v>
      </c>
      <c r="AY430" s="53">
        <f>100*(X435+X436+X437+X438+X439+X440+X441+X442)/X443</f>
        <v>76.50508256007883</v>
      </c>
      <c r="AZ430" s="53" t="s">
        <v>96</v>
      </c>
    </row>
    <row r="431" spans="2:49" ht="12.75">
      <c r="B431" s="3" t="s">
        <v>11</v>
      </c>
      <c r="C431">
        <v>0</v>
      </c>
      <c r="G431" s="19">
        <v>0</v>
      </c>
      <c r="H431" s="4">
        <v>0</v>
      </c>
      <c r="I431" s="4">
        <v>0</v>
      </c>
      <c r="J431" s="4">
        <v>0</v>
      </c>
      <c r="K431" s="4">
        <v>0</v>
      </c>
      <c r="L431" s="4">
        <v>0</v>
      </c>
      <c r="M431" s="4">
        <v>0</v>
      </c>
      <c r="N431" s="27">
        <v>0</v>
      </c>
      <c r="O431" s="4">
        <v>0.014611202988567353</v>
      </c>
      <c r="P431" s="4">
        <v>0.0001488116074629034</v>
      </c>
      <c r="Q431" s="4">
        <v>0.00028439191580362553</v>
      </c>
      <c r="R431" s="4">
        <v>4.784180638122209E-06</v>
      </c>
      <c r="S431" s="4">
        <v>0</v>
      </c>
      <c r="T431" s="4">
        <v>0</v>
      </c>
      <c r="U431" s="4">
        <v>0</v>
      </c>
      <c r="V431" s="17">
        <v>0</v>
      </c>
      <c r="W431" s="17">
        <v>0.015049190692472004</v>
      </c>
      <c r="X431" s="18">
        <v>3.641904147578225</v>
      </c>
      <c r="Y431" s="18"/>
      <c r="Z431" s="19">
        <v>0</v>
      </c>
      <c r="AA431" s="4">
        <v>0</v>
      </c>
      <c r="AB431" s="4">
        <v>0</v>
      </c>
      <c r="AC431" s="4">
        <v>0</v>
      </c>
      <c r="AD431" s="4">
        <v>0</v>
      </c>
      <c r="AE431" s="4">
        <v>0</v>
      </c>
      <c r="AF431" s="4">
        <v>0</v>
      </c>
      <c r="AG431" s="4">
        <v>0</v>
      </c>
      <c r="AH431" s="19">
        <v>0.00035291078017372663</v>
      </c>
      <c r="AI431" s="17">
        <v>2.1119438320693273E-07</v>
      </c>
      <c r="AJ431" s="4">
        <v>3.584777121879472E-07</v>
      </c>
      <c r="AK431" s="4">
        <v>3.543391074578368E-10</v>
      </c>
      <c r="AL431" s="4">
        <v>0</v>
      </c>
      <c r="AM431" s="4">
        <v>0</v>
      </c>
      <c r="AN431" s="4">
        <v>0</v>
      </c>
      <c r="AO431" s="4">
        <v>0</v>
      </c>
      <c r="AP431" s="6">
        <v>0.000353480806608229</v>
      </c>
      <c r="AQ431">
        <v>3.641904147578225</v>
      </c>
      <c r="AR431">
        <v>1</v>
      </c>
      <c r="AS431">
        <v>13.263465820147477</v>
      </c>
      <c r="AT431">
        <v>3.641904147578225</v>
      </c>
      <c r="AU431">
        <v>0</v>
      </c>
      <c r="AV431">
        <v>0</v>
      </c>
      <c r="AW431">
        <v>0</v>
      </c>
    </row>
    <row r="432" spans="1:49" ht="12.75">
      <c r="A432" s="15"/>
      <c r="B432" s="16" t="s">
        <v>12</v>
      </c>
      <c r="C432">
        <v>3</v>
      </c>
      <c r="G432" s="19">
        <v>0</v>
      </c>
      <c r="H432" s="17">
        <v>0</v>
      </c>
      <c r="I432" s="17">
        <v>0</v>
      </c>
      <c r="J432" s="17">
        <v>0</v>
      </c>
      <c r="K432" s="17">
        <v>0</v>
      </c>
      <c r="L432" s="17">
        <v>0</v>
      </c>
      <c r="M432" s="17">
        <v>0</v>
      </c>
      <c r="N432" s="27">
        <v>0</v>
      </c>
      <c r="O432" s="17">
        <v>0.0008585242755129187</v>
      </c>
      <c r="P432" s="17">
        <v>0.0025326209936189135</v>
      </c>
      <c r="Q432" s="17">
        <v>1.6710284818305606E-05</v>
      </c>
      <c r="R432" s="17">
        <v>8.142184959862028E-05</v>
      </c>
      <c r="S432" s="17">
        <v>0</v>
      </c>
      <c r="T432" s="17">
        <v>0</v>
      </c>
      <c r="U432" s="17">
        <v>0</v>
      </c>
      <c r="V432" s="17">
        <v>0</v>
      </c>
      <c r="W432" s="17">
        <v>0.003489277403548758</v>
      </c>
      <c r="X432" s="18">
        <v>0.8444051316587995</v>
      </c>
      <c r="Y432" s="18"/>
      <c r="Z432" s="19">
        <v>0</v>
      </c>
      <c r="AA432" s="4">
        <v>0</v>
      </c>
      <c r="AB432" s="4">
        <v>0</v>
      </c>
      <c r="AC432" s="17">
        <v>0</v>
      </c>
      <c r="AD432" s="17">
        <v>0</v>
      </c>
      <c r="AE432" s="17">
        <v>0</v>
      </c>
      <c r="AF432" s="17">
        <v>0</v>
      </c>
      <c r="AG432" s="17">
        <v>0</v>
      </c>
      <c r="AH432" s="19">
        <v>1.2184231319477483E-06</v>
      </c>
      <c r="AI432" s="17">
        <v>6.117150322541967E-05</v>
      </c>
      <c r="AJ432" s="17">
        <v>1.2376429436428395E-09</v>
      </c>
      <c r="AK432" s="17">
        <v>1.0263272879521292E-07</v>
      </c>
      <c r="AL432" s="17">
        <v>0</v>
      </c>
      <c r="AM432" s="17">
        <v>0</v>
      </c>
      <c r="AN432" s="17">
        <v>0</v>
      </c>
      <c r="AO432" s="17">
        <v>0</v>
      </c>
      <c r="AP432" s="6">
        <v>6.249379672910627E-05</v>
      </c>
      <c r="AQ432">
        <v>5.502796065782881</v>
      </c>
      <c r="AR432">
        <v>1</v>
      </c>
      <c r="AS432">
        <v>4.646589236418918</v>
      </c>
      <c r="AT432">
        <v>0.8444051316587995</v>
      </c>
      <c r="AU432">
        <v>3</v>
      </c>
      <c r="AV432">
        <v>0</v>
      </c>
      <c r="AW432">
        <v>0</v>
      </c>
    </row>
    <row r="433" spans="1:49" ht="12.75">
      <c r="A433" s="15"/>
      <c r="B433" s="16" t="s">
        <v>13</v>
      </c>
      <c r="C433">
        <v>3</v>
      </c>
      <c r="G433" s="19">
        <v>0</v>
      </c>
      <c r="H433" s="17">
        <v>0</v>
      </c>
      <c r="I433" s="17">
        <v>0</v>
      </c>
      <c r="J433" s="17">
        <v>0</v>
      </c>
      <c r="K433" s="17">
        <v>0</v>
      </c>
      <c r="L433" s="17">
        <v>0</v>
      </c>
      <c r="M433" s="17">
        <v>0</v>
      </c>
      <c r="N433" s="27">
        <v>0</v>
      </c>
      <c r="O433" s="17">
        <v>0.0007625212238722441</v>
      </c>
      <c r="P433" s="17">
        <v>7.766096271319761E-06</v>
      </c>
      <c r="Q433" s="17">
        <v>0.005449432592856622</v>
      </c>
      <c r="R433" s="17">
        <v>9.167303446663022E-05</v>
      </c>
      <c r="S433" s="17">
        <v>0</v>
      </c>
      <c r="T433" s="17">
        <v>0</v>
      </c>
      <c r="U433" s="17">
        <v>0</v>
      </c>
      <c r="V433" s="17">
        <v>0</v>
      </c>
      <c r="W433" s="17">
        <v>0.006311392947466817</v>
      </c>
      <c r="X433" s="18">
        <v>1.5273570932869696</v>
      </c>
      <c r="Y433" s="18"/>
      <c r="Z433" s="19">
        <v>0</v>
      </c>
      <c r="AA433" s="4">
        <v>0</v>
      </c>
      <c r="AB433" s="4">
        <v>0</v>
      </c>
      <c r="AC433" s="17">
        <v>0</v>
      </c>
      <c r="AD433" s="17">
        <v>0</v>
      </c>
      <c r="AE433" s="17">
        <v>0</v>
      </c>
      <c r="AF433" s="17">
        <v>0</v>
      </c>
      <c r="AG433" s="17">
        <v>0</v>
      </c>
      <c r="AH433" s="19">
        <v>9.611625670021625E-07</v>
      </c>
      <c r="AI433" s="17">
        <v>5.751939212502587E-10</v>
      </c>
      <c r="AJ433" s="17">
        <v>0.00013162253028405386</v>
      </c>
      <c r="AK433" s="17">
        <v>1.30102955683173E-07</v>
      </c>
      <c r="AL433" s="17">
        <v>0</v>
      </c>
      <c r="AM433" s="17">
        <v>0</v>
      </c>
      <c r="AN433" s="17">
        <v>0</v>
      </c>
      <c r="AO433" s="17">
        <v>0</v>
      </c>
      <c r="AP433" s="6">
        <v>0.00013271437100066043</v>
      </c>
      <c r="AQ433">
        <v>1.4198887347457643</v>
      </c>
      <c r="AR433">
        <v>1</v>
      </c>
      <c r="AS433">
        <v>2.1686771306922035</v>
      </c>
      <c r="AT433">
        <v>1.5273570932869696</v>
      </c>
      <c r="AU433">
        <v>3</v>
      </c>
      <c r="AV433">
        <v>0</v>
      </c>
      <c r="AW433">
        <v>0</v>
      </c>
    </row>
    <row r="434" spans="1:49" ht="13.5" thickBot="1">
      <c r="A434" s="11" t="s">
        <v>4</v>
      </c>
      <c r="B434" s="12" t="s">
        <v>14</v>
      </c>
      <c r="C434">
        <v>2</v>
      </c>
      <c r="G434" s="20">
        <v>0</v>
      </c>
      <c r="H434" s="13">
        <v>0</v>
      </c>
      <c r="I434" s="13">
        <v>0</v>
      </c>
      <c r="J434" s="13">
        <v>0</v>
      </c>
      <c r="K434" s="13">
        <v>0</v>
      </c>
      <c r="L434" s="13">
        <v>0</v>
      </c>
      <c r="M434" s="13">
        <v>0</v>
      </c>
      <c r="N434" s="28">
        <v>0</v>
      </c>
      <c r="O434" s="13">
        <v>4.480418086042421E-05</v>
      </c>
      <c r="P434" s="13">
        <v>0.000132170996540798</v>
      </c>
      <c r="Q434" s="13">
        <v>0.0003201974657664685</v>
      </c>
      <c r="R434" s="13">
        <v>0.0015601810611233088</v>
      </c>
      <c r="S434" s="13">
        <v>0</v>
      </c>
      <c r="T434" s="13">
        <v>0</v>
      </c>
      <c r="U434" s="13">
        <v>0</v>
      </c>
      <c r="V434" s="13">
        <v>0</v>
      </c>
      <c r="W434" s="13">
        <v>0.0020573537042909993</v>
      </c>
      <c r="X434" s="14">
        <v>0.49787959643842183</v>
      </c>
      <c r="Y434" s="14"/>
      <c r="Z434" s="20">
        <v>0</v>
      </c>
      <c r="AA434" s="13">
        <v>0</v>
      </c>
      <c r="AB434" s="13">
        <v>0</v>
      </c>
      <c r="AC434" s="13">
        <v>0</v>
      </c>
      <c r="AD434" s="13">
        <v>0</v>
      </c>
      <c r="AE434" s="13">
        <v>0</v>
      </c>
      <c r="AF434" s="13">
        <v>0</v>
      </c>
      <c r="AG434" s="13">
        <v>0</v>
      </c>
      <c r="AH434" s="20">
        <v>3.318410122301211E-09</v>
      </c>
      <c r="AI434" s="13">
        <v>1.6660233229084751E-07</v>
      </c>
      <c r="AJ434" s="13">
        <v>4.5442628730309185E-07</v>
      </c>
      <c r="AK434" s="13">
        <v>3.768373596096943E-05</v>
      </c>
      <c r="AL434" s="13">
        <v>0</v>
      </c>
      <c r="AM434" s="13">
        <v>0</v>
      </c>
      <c r="AN434" s="13">
        <v>0</v>
      </c>
      <c r="AO434" s="13">
        <v>0</v>
      </c>
      <c r="AP434" s="6">
        <v>3.8308082990685674E-05</v>
      </c>
      <c r="AQ434">
        <v>4.531950541731161</v>
      </c>
      <c r="AR434">
        <v>1</v>
      </c>
      <c r="AS434">
        <v>2.256365706795998</v>
      </c>
      <c r="AT434">
        <v>0.49787959643842183</v>
      </c>
      <c r="AU434">
        <v>2</v>
      </c>
      <c r="AV434">
        <v>0</v>
      </c>
      <c r="AW434">
        <v>0</v>
      </c>
    </row>
    <row r="435" spans="2:49" ht="12.75">
      <c r="B435" s="3" t="s">
        <v>7</v>
      </c>
      <c r="C435">
        <v>99</v>
      </c>
      <c r="G435" s="19">
        <v>0</v>
      </c>
      <c r="H435" s="4">
        <v>0</v>
      </c>
      <c r="I435" s="4">
        <v>0</v>
      </c>
      <c r="J435" s="4">
        <v>0</v>
      </c>
      <c r="K435" s="4">
        <v>0</v>
      </c>
      <c r="L435" s="4">
        <v>0</v>
      </c>
      <c r="M435" s="4">
        <v>0</v>
      </c>
      <c r="N435" s="27">
        <v>0</v>
      </c>
      <c r="O435" s="4">
        <v>0.3678616633671675</v>
      </c>
      <c r="P435" s="4">
        <v>0.0037465830494914755</v>
      </c>
      <c r="Q435" s="4">
        <v>0.007160045841369488</v>
      </c>
      <c r="R435" s="4">
        <v>0.00012044981161138429</v>
      </c>
      <c r="S435" s="4">
        <v>0</v>
      </c>
      <c r="T435" s="4">
        <v>0</v>
      </c>
      <c r="U435" s="4">
        <v>0</v>
      </c>
      <c r="V435" s="17">
        <v>0</v>
      </c>
      <c r="W435" s="17">
        <v>0.3788887420696399</v>
      </c>
      <c r="X435" s="18">
        <v>91.69107558085285</v>
      </c>
      <c r="Y435" s="18"/>
      <c r="Z435" s="19">
        <v>0</v>
      </c>
      <c r="AA435" s="4">
        <v>0</v>
      </c>
      <c r="AB435" s="19">
        <v>0</v>
      </c>
      <c r="AC435" s="4">
        <v>0</v>
      </c>
      <c r="AD435" s="4">
        <v>0</v>
      </c>
      <c r="AE435" s="4">
        <v>0</v>
      </c>
      <c r="AF435" s="4">
        <v>0</v>
      </c>
      <c r="AG435" s="4">
        <v>0</v>
      </c>
      <c r="AH435" s="19">
        <v>0.2236979667293913</v>
      </c>
      <c r="AI435" s="17">
        <v>0.0001338688324703546</v>
      </c>
      <c r="AJ435" s="4">
        <v>0.00022722665285195421</v>
      </c>
      <c r="AK435" s="4">
        <v>2.246033341118279E-07</v>
      </c>
      <c r="AL435" s="4">
        <v>0</v>
      </c>
      <c r="AM435" s="4">
        <v>0</v>
      </c>
      <c r="AN435" s="4">
        <v>0</v>
      </c>
      <c r="AO435" s="4">
        <v>0</v>
      </c>
      <c r="AP435" s="6">
        <v>0.2240592868180477</v>
      </c>
      <c r="AQ435">
        <v>0.582612602441331</v>
      </c>
      <c r="AR435">
        <v>0</v>
      </c>
      <c r="AS435">
        <v>53.420376164805454</v>
      </c>
      <c r="AT435">
        <v>0</v>
      </c>
      <c r="AU435">
        <v>0</v>
      </c>
      <c r="AV435">
        <v>0.582612602441331</v>
      </c>
      <c r="AW435">
        <v>1</v>
      </c>
    </row>
    <row r="436" spans="2:49" ht="12.75">
      <c r="B436" s="3" t="s">
        <v>15</v>
      </c>
      <c r="C436">
        <v>21</v>
      </c>
      <c r="G436" s="19">
        <v>0</v>
      </c>
      <c r="H436" s="4">
        <v>0</v>
      </c>
      <c r="I436" s="4">
        <v>0</v>
      </c>
      <c r="J436" s="4">
        <v>0</v>
      </c>
      <c r="K436" s="4">
        <v>0</v>
      </c>
      <c r="L436" s="4">
        <v>0</v>
      </c>
      <c r="M436" s="4">
        <v>0</v>
      </c>
      <c r="N436" s="27">
        <v>0</v>
      </c>
      <c r="O436" s="4">
        <v>0.021614795734368277</v>
      </c>
      <c r="P436" s="4">
        <v>0.06376300241124853</v>
      </c>
      <c r="Q436" s="4">
        <v>0.0004207095865693503</v>
      </c>
      <c r="R436" s="4">
        <v>0.002049932305451915</v>
      </c>
      <c r="S436" s="4">
        <v>0</v>
      </c>
      <c r="T436" s="4">
        <v>0</v>
      </c>
      <c r="U436" s="4">
        <v>0</v>
      </c>
      <c r="V436" s="17">
        <v>0</v>
      </c>
      <c r="W436" s="17">
        <v>0.08784844003763809</v>
      </c>
      <c r="X436" s="18">
        <v>21.259322489108417</v>
      </c>
      <c r="Y436" s="18"/>
      <c r="Z436" s="19">
        <v>0</v>
      </c>
      <c r="AA436" s="4">
        <v>0</v>
      </c>
      <c r="AB436" s="19">
        <v>0</v>
      </c>
      <c r="AC436" s="4">
        <v>0</v>
      </c>
      <c r="AD436" s="4">
        <v>0</v>
      </c>
      <c r="AE436" s="4">
        <v>0</v>
      </c>
      <c r="AF436" s="4">
        <v>0</v>
      </c>
      <c r="AG436" s="4">
        <v>0</v>
      </c>
      <c r="AH436" s="19">
        <v>0.0007723163829073062</v>
      </c>
      <c r="AI436" s="17">
        <v>0.0387745052349226</v>
      </c>
      <c r="AJ436" s="4">
        <v>7.844991583810315E-07</v>
      </c>
      <c r="AK436" s="4">
        <v>6.505534554675922E-05</v>
      </c>
      <c r="AL436" s="4">
        <v>0</v>
      </c>
      <c r="AM436" s="4">
        <v>0</v>
      </c>
      <c r="AN436" s="4">
        <v>0</v>
      </c>
      <c r="AO436" s="4">
        <v>0</v>
      </c>
      <c r="AP436" s="6">
        <v>0.039612661462535045</v>
      </c>
      <c r="AQ436">
        <v>0.003163231254986494</v>
      </c>
      <c r="AR436">
        <v>0</v>
      </c>
      <c r="AS436">
        <v>0.06724815335738502</v>
      </c>
      <c r="AT436">
        <v>0</v>
      </c>
      <c r="AU436">
        <v>0</v>
      </c>
      <c r="AV436">
        <v>0.003163231254986494</v>
      </c>
      <c r="AW436">
        <v>1</v>
      </c>
    </row>
    <row r="437" spans="2:49" ht="12.75">
      <c r="B437" s="3" t="s">
        <v>16</v>
      </c>
      <c r="C437">
        <v>44</v>
      </c>
      <c r="G437" s="19">
        <v>0</v>
      </c>
      <c r="H437" s="4">
        <v>0</v>
      </c>
      <c r="I437" s="4">
        <v>0</v>
      </c>
      <c r="J437" s="4">
        <v>0</v>
      </c>
      <c r="K437" s="4">
        <v>0</v>
      </c>
      <c r="L437" s="4">
        <v>0</v>
      </c>
      <c r="M437" s="4">
        <v>0</v>
      </c>
      <c r="N437" s="27">
        <v>0</v>
      </c>
      <c r="O437" s="4">
        <v>0.0191977570899462</v>
      </c>
      <c r="P437" s="4">
        <v>0.00019552456388927098</v>
      </c>
      <c r="Q437" s="4">
        <v>0.1371986508971258</v>
      </c>
      <c r="R437" s="4">
        <v>0.0023080231635408174</v>
      </c>
      <c r="S437" s="4">
        <v>0</v>
      </c>
      <c r="T437" s="4">
        <v>0</v>
      </c>
      <c r="U437" s="4">
        <v>0</v>
      </c>
      <c r="V437" s="17">
        <v>0</v>
      </c>
      <c r="W437" s="17">
        <v>0.15889995571450208</v>
      </c>
      <c r="X437" s="18">
        <v>38.453789282909504</v>
      </c>
      <c r="Y437" s="18"/>
      <c r="Z437" s="19">
        <v>0</v>
      </c>
      <c r="AA437" s="4">
        <v>0</v>
      </c>
      <c r="AB437" s="19">
        <v>0</v>
      </c>
      <c r="AC437" s="4">
        <v>0</v>
      </c>
      <c r="AD437" s="4">
        <v>0</v>
      </c>
      <c r="AE437" s="4">
        <v>0</v>
      </c>
      <c r="AF437" s="4">
        <v>0</v>
      </c>
      <c r="AG437" s="4">
        <v>0</v>
      </c>
      <c r="AH437" s="19">
        <v>0.0006092477872989414</v>
      </c>
      <c r="AI437" s="17">
        <v>3.6459558020712346E-07</v>
      </c>
      <c r="AJ437" s="4">
        <v>0.08343098044731416</v>
      </c>
      <c r="AK437" s="4">
        <v>8.24677745391712E-05</v>
      </c>
      <c r="AL437" s="4">
        <v>0</v>
      </c>
      <c r="AM437" s="4">
        <v>0</v>
      </c>
      <c r="AN437" s="4">
        <v>0</v>
      </c>
      <c r="AO437" s="4">
        <v>0</v>
      </c>
      <c r="AP437" s="6">
        <v>0.08412306060473249</v>
      </c>
      <c r="AQ437">
        <v>0.7999329556850909</v>
      </c>
      <c r="AR437">
        <v>0</v>
      </c>
      <c r="AS437">
        <v>30.76045331836947</v>
      </c>
      <c r="AT437">
        <v>0</v>
      </c>
      <c r="AU437">
        <v>0</v>
      </c>
      <c r="AV437">
        <v>0.7999329556850909</v>
      </c>
      <c r="AW437">
        <v>1</v>
      </c>
    </row>
    <row r="438" spans="2:49" ht="12.75">
      <c r="B438" s="3" t="s">
        <v>17</v>
      </c>
      <c r="C438">
        <v>8</v>
      </c>
      <c r="G438" s="19">
        <v>0</v>
      </c>
      <c r="H438" s="4">
        <v>0</v>
      </c>
      <c r="I438" s="4">
        <v>0</v>
      </c>
      <c r="J438" s="4">
        <v>0</v>
      </c>
      <c r="K438" s="4">
        <v>0</v>
      </c>
      <c r="L438" s="4">
        <v>0</v>
      </c>
      <c r="M438" s="4">
        <v>0</v>
      </c>
      <c r="N438" s="27">
        <v>0</v>
      </c>
      <c r="O438" s="4">
        <v>0.0011280207735129902</v>
      </c>
      <c r="P438" s="4">
        <v>0.0033276276206988344</v>
      </c>
      <c r="Q438" s="4">
        <v>0.008061510914260049</v>
      </c>
      <c r="R438" s="4">
        <v>0.039280188000115346</v>
      </c>
      <c r="S438" s="4">
        <v>0</v>
      </c>
      <c r="T438" s="4">
        <v>0</v>
      </c>
      <c r="U438" s="4">
        <v>0</v>
      </c>
      <c r="V438" s="17">
        <v>0</v>
      </c>
      <c r="W438" s="17">
        <v>0.05179734730858722</v>
      </c>
      <c r="X438" s="18">
        <v>12.534958048678106</v>
      </c>
      <c r="Y438" s="18"/>
      <c r="Z438" s="19">
        <v>0</v>
      </c>
      <c r="AA438" s="4">
        <v>0</v>
      </c>
      <c r="AB438" s="19">
        <v>0</v>
      </c>
      <c r="AC438" s="4">
        <v>0</v>
      </c>
      <c r="AD438" s="4">
        <v>0</v>
      </c>
      <c r="AE438" s="4">
        <v>0</v>
      </c>
      <c r="AF438" s="4">
        <v>0</v>
      </c>
      <c r="AG438" s="4">
        <v>0</v>
      </c>
      <c r="AH438" s="19">
        <v>2.1034256782056658E-06</v>
      </c>
      <c r="AI438" s="17">
        <v>0.00010560346999740517</v>
      </c>
      <c r="AJ438" s="4">
        <v>0.00028804514401075174</v>
      </c>
      <c r="AK438" s="4">
        <v>0.02388641998718883</v>
      </c>
      <c r="AL438" s="4">
        <v>0</v>
      </c>
      <c r="AM438" s="4">
        <v>0</v>
      </c>
      <c r="AN438" s="4">
        <v>0</v>
      </c>
      <c r="AO438" s="4">
        <v>0</v>
      </c>
      <c r="AP438" s="6">
        <v>0.02428217202687519</v>
      </c>
      <c r="AQ438">
        <v>1.640679164892709</v>
      </c>
      <c r="AR438">
        <v>0</v>
      </c>
      <c r="AS438">
        <v>20.565844503270338</v>
      </c>
      <c r="AT438">
        <v>0</v>
      </c>
      <c r="AU438">
        <v>0</v>
      </c>
      <c r="AV438">
        <v>1.640679164892709</v>
      </c>
      <c r="AW438">
        <v>1</v>
      </c>
    </row>
    <row r="439" spans="2:49" ht="12.75">
      <c r="B439" s="3" t="s">
        <v>18</v>
      </c>
      <c r="C439">
        <v>5</v>
      </c>
      <c r="G439" s="19">
        <v>0</v>
      </c>
      <c r="H439" s="4">
        <v>0</v>
      </c>
      <c r="I439" s="4">
        <v>0</v>
      </c>
      <c r="J439" s="4">
        <v>0</v>
      </c>
      <c r="K439" s="4">
        <v>0</v>
      </c>
      <c r="L439" s="4">
        <v>0</v>
      </c>
      <c r="M439" s="4">
        <v>0</v>
      </c>
      <c r="N439" s="27">
        <v>0</v>
      </c>
      <c r="O439" s="4">
        <v>0.047577579014730295</v>
      </c>
      <c r="P439" s="4">
        <v>0.0004845662617866024</v>
      </c>
      <c r="Q439" s="4">
        <v>0.0009260482422894748</v>
      </c>
      <c r="R439" s="4">
        <v>1.5578438853330902E-05</v>
      </c>
      <c r="S439" s="4">
        <v>0</v>
      </c>
      <c r="T439" s="4">
        <v>0</v>
      </c>
      <c r="U439" s="4">
        <v>0</v>
      </c>
      <c r="V439" s="17">
        <v>0</v>
      </c>
      <c r="W439" s="17">
        <v>0.0490037719576597</v>
      </c>
      <c r="X439" s="18">
        <v>11.858912813753648</v>
      </c>
      <c r="Y439" s="18"/>
      <c r="Z439" s="19">
        <v>0</v>
      </c>
      <c r="AA439" s="4">
        <v>0</v>
      </c>
      <c r="AB439" s="19">
        <v>0</v>
      </c>
      <c r="AC439" s="4">
        <v>0</v>
      </c>
      <c r="AD439" s="4">
        <v>0</v>
      </c>
      <c r="AE439" s="4">
        <v>0</v>
      </c>
      <c r="AF439" s="4">
        <v>0</v>
      </c>
      <c r="AG439" s="4">
        <v>0</v>
      </c>
      <c r="AH439" s="19">
        <v>0.0037419471940041793</v>
      </c>
      <c r="AI439" s="17">
        <v>2.23931450674756E-06</v>
      </c>
      <c r="AJ439" s="4">
        <v>3.800973913504134E-06</v>
      </c>
      <c r="AK439" s="4">
        <v>3.757091886581337E-09</v>
      </c>
      <c r="AL439" s="4">
        <v>0</v>
      </c>
      <c r="AM439" s="4">
        <v>0</v>
      </c>
      <c r="AN439" s="4">
        <v>0</v>
      </c>
      <c r="AO439" s="4">
        <v>0</v>
      </c>
      <c r="AP439" s="6">
        <v>0.003747991239516318</v>
      </c>
      <c r="AQ439">
        <v>3.967031862491882</v>
      </c>
      <c r="AR439">
        <v>0</v>
      </c>
      <c r="AS439">
        <v>47.04468498667398</v>
      </c>
      <c r="AT439">
        <v>0</v>
      </c>
      <c r="AU439">
        <v>0</v>
      </c>
      <c r="AV439">
        <v>3.967031862491882</v>
      </c>
      <c r="AW439">
        <v>1</v>
      </c>
    </row>
    <row r="440" spans="2:49" ht="12.75">
      <c r="B440" s="16" t="s">
        <v>19</v>
      </c>
      <c r="C440">
        <v>1</v>
      </c>
      <c r="G440" s="19">
        <v>0</v>
      </c>
      <c r="H440" s="4">
        <v>0</v>
      </c>
      <c r="I440" s="4">
        <v>0</v>
      </c>
      <c r="J440" s="4">
        <v>0</v>
      </c>
      <c r="K440" s="4">
        <v>0</v>
      </c>
      <c r="L440" s="4">
        <v>0</v>
      </c>
      <c r="M440" s="4">
        <v>0</v>
      </c>
      <c r="N440" s="27">
        <v>0</v>
      </c>
      <c r="O440" s="4">
        <v>0.0027955608163298144</v>
      </c>
      <c r="P440" s="4">
        <v>0.008246820986098927</v>
      </c>
      <c r="Q440" s="4">
        <v>5.441269257046556E-05</v>
      </c>
      <c r="R440" s="4">
        <v>0.00026512905787668333</v>
      </c>
      <c r="S440" s="4">
        <v>0</v>
      </c>
      <c r="T440" s="4">
        <v>0</v>
      </c>
      <c r="U440" s="4">
        <v>0</v>
      </c>
      <c r="V440" s="17">
        <v>0</v>
      </c>
      <c r="W440" s="17">
        <v>0.01136192355287589</v>
      </c>
      <c r="X440" s="18">
        <v>2.7495854997959657</v>
      </c>
      <c r="Y440" s="18"/>
      <c r="Z440" s="19">
        <v>0</v>
      </c>
      <c r="AA440" s="4">
        <v>0</v>
      </c>
      <c r="AB440" s="19">
        <v>0</v>
      </c>
      <c r="AC440" s="4">
        <v>0</v>
      </c>
      <c r="AD440" s="4">
        <v>0</v>
      </c>
      <c r="AE440" s="4">
        <v>0</v>
      </c>
      <c r="AF440" s="4">
        <v>0</v>
      </c>
      <c r="AG440" s="4">
        <v>0</v>
      </c>
      <c r="AH440" s="19">
        <v>1.2919058515178469E-05</v>
      </c>
      <c r="AI440" s="17">
        <v>0.0006486073753108261</v>
      </c>
      <c r="AJ440" s="4">
        <v>1.3122848040696309E-08</v>
      </c>
      <c r="AK440" s="4">
        <v>1.0882247670053755E-06</v>
      </c>
      <c r="AL440" s="4">
        <v>0</v>
      </c>
      <c r="AM440" s="4">
        <v>0</v>
      </c>
      <c r="AN440" s="4">
        <v>0</v>
      </c>
      <c r="AO440" s="4">
        <v>0</v>
      </c>
      <c r="AP440" s="6">
        <v>0.0006626277814410506</v>
      </c>
      <c r="AQ440">
        <v>1.1132766816392672</v>
      </c>
      <c r="AR440">
        <v>1</v>
      </c>
      <c r="AS440">
        <v>3.061049421096299</v>
      </c>
      <c r="AT440">
        <v>2.7495854997959657</v>
      </c>
      <c r="AU440">
        <v>1</v>
      </c>
      <c r="AV440">
        <v>0</v>
      </c>
      <c r="AW440">
        <v>0</v>
      </c>
    </row>
    <row r="441" spans="2:49" ht="12.75">
      <c r="B441" s="16" t="s">
        <v>20</v>
      </c>
      <c r="C441">
        <v>2</v>
      </c>
      <c r="G441" s="19">
        <v>0</v>
      </c>
      <c r="H441" s="4">
        <v>0</v>
      </c>
      <c r="I441" s="4">
        <v>0</v>
      </c>
      <c r="J441" s="4">
        <v>0</v>
      </c>
      <c r="K441" s="4">
        <v>0</v>
      </c>
      <c r="L441" s="4">
        <v>0</v>
      </c>
      <c r="M441" s="4">
        <v>0</v>
      </c>
      <c r="N441" s="27">
        <v>0</v>
      </c>
      <c r="O441" s="4">
        <v>0.0024829518697110195</v>
      </c>
      <c r="P441" s="4">
        <v>2.5288270875014885E-05</v>
      </c>
      <c r="Q441" s="4">
        <v>0.017744658668759235</v>
      </c>
      <c r="R441" s="4">
        <v>0.00029850937286060196</v>
      </c>
      <c r="S441" s="4">
        <v>0</v>
      </c>
      <c r="T441" s="4">
        <v>0</v>
      </c>
      <c r="U441" s="4">
        <v>0</v>
      </c>
      <c r="V441" s="17">
        <v>0</v>
      </c>
      <c r="W441" s="17">
        <v>0.020551408182205872</v>
      </c>
      <c r="X441" s="18">
        <v>4.973440780093821</v>
      </c>
      <c r="Y441" s="18"/>
      <c r="Z441" s="19">
        <v>0</v>
      </c>
      <c r="AA441" s="4">
        <v>0</v>
      </c>
      <c r="AB441" s="19">
        <v>0</v>
      </c>
      <c r="AC441" s="4">
        <v>0</v>
      </c>
      <c r="AD441" s="4">
        <v>0</v>
      </c>
      <c r="AE441" s="4">
        <v>0</v>
      </c>
      <c r="AF441" s="4">
        <v>0</v>
      </c>
      <c r="AG441" s="4">
        <v>0</v>
      </c>
      <c r="AH441" s="19">
        <v>1.0191299820325965E-05</v>
      </c>
      <c r="AI441" s="17">
        <v>6.09883687477933E-09</v>
      </c>
      <c r="AJ441" s="4">
        <v>0.0013956064408735017</v>
      </c>
      <c r="AK441" s="4">
        <v>1.3794942441561134E-06</v>
      </c>
      <c r="AL441" s="4">
        <v>0</v>
      </c>
      <c r="AM441" s="4">
        <v>0</v>
      </c>
      <c r="AN441" s="4">
        <v>0</v>
      </c>
      <c r="AO441" s="4">
        <v>0</v>
      </c>
      <c r="AP441" s="6">
        <v>0.0014071833337748587</v>
      </c>
      <c r="AQ441">
        <v>1.777712948370155</v>
      </c>
      <c r="AR441">
        <v>0</v>
      </c>
      <c r="AS441">
        <v>8.84135007272495</v>
      </c>
      <c r="AT441">
        <v>0</v>
      </c>
      <c r="AU441">
        <v>0</v>
      </c>
      <c r="AV441">
        <v>1.777712948370155</v>
      </c>
      <c r="AW441">
        <v>1</v>
      </c>
    </row>
    <row r="442" spans="2:49" ht="13.5" thickBot="1">
      <c r="B442" s="12" t="s">
        <v>21</v>
      </c>
      <c r="C442">
        <v>10</v>
      </c>
      <c r="G442" s="19">
        <v>0</v>
      </c>
      <c r="H442" s="4">
        <v>0</v>
      </c>
      <c r="I442" s="4">
        <v>0</v>
      </c>
      <c r="J442" s="4">
        <v>0</v>
      </c>
      <c r="K442" s="4">
        <v>0</v>
      </c>
      <c r="L442" s="4">
        <v>0</v>
      </c>
      <c r="M442" s="4">
        <v>0</v>
      </c>
      <c r="N442" s="27">
        <v>0</v>
      </c>
      <c r="O442" s="4">
        <v>0.00014589315176478246</v>
      </c>
      <c r="P442" s="4">
        <v>0.0004303804441219418</v>
      </c>
      <c r="Q442" s="4">
        <v>0.0010426396950162615</v>
      </c>
      <c r="R442" s="4">
        <v>0.005080323486776656</v>
      </c>
      <c r="S442" s="4">
        <v>0</v>
      </c>
      <c r="T442" s="4">
        <v>0</v>
      </c>
      <c r="U442" s="4">
        <v>0</v>
      </c>
      <c r="V442" s="17">
        <v>0</v>
      </c>
      <c r="W442" s="17">
        <v>0.006699236777679642</v>
      </c>
      <c r="X442" s="18">
        <v>1.6212153001984733</v>
      </c>
      <c r="Y442" s="18"/>
      <c r="Z442" s="19">
        <v>0</v>
      </c>
      <c r="AA442" s="4">
        <v>0</v>
      </c>
      <c r="AB442" s="19">
        <v>0</v>
      </c>
      <c r="AC442" s="4">
        <v>0</v>
      </c>
      <c r="AD442" s="4">
        <v>0</v>
      </c>
      <c r="AE442" s="4">
        <v>0</v>
      </c>
      <c r="AF442" s="4">
        <v>0</v>
      </c>
      <c r="AG442" s="4">
        <v>0</v>
      </c>
      <c r="AH442" s="19">
        <v>3.518542403150008E-08</v>
      </c>
      <c r="AI442" s="17">
        <v>1.7665006705757205E-06</v>
      </c>
      <c r="AJ442" s="4">
        <v>4.818325951444357E-06</v>
      </c>
      <c r="AK442" s="4">
        <v>0.00039956430338945444</v>
      </c>
      <c r="AL442" s="4">
        <v>0</v>
      </c>
      <c r="AM442" s="4">
        <v>0</v>
      </c>
      <c r="AN442" s="4">
        <v>0</v>
      </c>
      <c r="AO442" s="4">
        <v>0</v>
      </c>
      <c r="AP442" s="6">
        <v>0.00040618431543550603</v>
      </c>
      <c r="AQ442">
        <v>43.30333734022471</v>
      </c>
      <c r="AR442">
        <v>1</v>
      </c>
      <c r="AS442">
        <v>70.20403304562815</v>
      </c>
      <c r="AT442">
        <v>1.6212153001984733</v>
      </c>
      <c r="AU442">
        <v>10</v>
      </c>
      <c r="AV442">
        <v>0</v>
      </c>
      <c r="AW442">
        <v>0</v>
      </c>
    </row>
    <row r="443" spans="3:49" ht="12.75">
      <c r="C443" s="2">
        <v>242</v>
      </c>
      <c r="D443" s="2">
        <v>0</v>
      </c>
      <c r="E443" s="2">
        <v>0</v>
      </c>
      <c r="F443" s="2">
        <v>0</v>
      </c>
      <c r="G443" s="33">
        <v>0</v>
      </c>
      <c r="H443" s="2">
        <v>0</v>
      </c>
      <c r="I443" s="2">
        <v>0</v>
      </c>
      <c r="J443" s="2">
        <v>0</v>
      </c>
      <c r="K443" s="2">
        <v>0</v>
      </c>
      <c r="L443" s="2">
        <v>0</v>
      </c>
      <c r="M443" s="2">
        <v>0</v>
      </c>
      <c r="N443" s="29">
        <v>0</v>
      </c>
      <c r="O443" s="2">
        <v>0.6049326480421672</v>
      </c>
      <c r="P443" s="2">
        <v>0.10485550884180102</v>
      </c>
      <c r="Q443" s="2">
        <v>0.22561726719582578</v>
      </c>
      <c r="R443" s="2">
        <v>0.06459457592020645</v>
      </c>
      <c r="S443" s="2">
        <v>0</v>
      </c>
      <c r="T443" s="2">
        <v>0</v>
      </c>
      <c r="U443" s="2">
        <v>0</v>
      </c>
      <c r="V443" s="32">
        <v>0</v>
      </c>
      <c r="W443" s="32">
        <v>1</v>
      </c>
      <c r="X443" s="32">
        <v>242</v>
      </c>
      <c r="Y443" s="32"/>
      <c r="Z443" s="33">
        <v>0</v>
      </c>
      <c r="AA443" s="2">
        <v>0</v>
      </c>
      <c r="AB443" s="2">
        <v>0</v>
      </c>
      <c r="AC443" s="2">
        <v>0</v>
      </c>
      <c r="AD443" s="2">
        <v>0</v>
      </c>
      <c r="AE443" s="2">
        <v>0</v>
      </c>
      <c r="AF443" s="2">
        <v>0</v>
      </c>
      <c r="AG443" s="2">
        <v>0</v>
      </c>
      <c r="AH443" s="2">
        <v>0.2504297352672784</v>
      </c>
      <c r="AI443" s="2">
        <v>0.04340803460608991</v>
      </c>
      <c r="AJ443" s="2">
        <v>0.09340093096056377</v>
      </c>
      <c r="AK443" s="2">
        <v>0.02674083238812371</v>
      </c>
      <c r="AL443" s="2">
        <v>0</v>
      </c>
      <c r="AM443" s="2">
        <v>0</v>
      </c>
      <c r="AN443" s="2">
        <v>0</v>
      </c>
      <c r="AO443" s="2">
        <v>0</v>
      </c>
      <c r="AP443" s="2">
        <v>0.4139795332220558</v>
      </c>
      <c r="AQ443" s="36">
        <v>69.92456094212321</v>
      </c>
      <c r="AR443" s="36">
        <v>7</v>
      </c>
      <c r="AT443">
        <v>14.731866233696904</v>
      </c>
      <c r="AU443">
        <v>23</v>
      </c>
      <c r="AV443" s="36">
        <v>10.405525036086129</v>
      </c>
      <c r="AW443" s="36">
        <v>9</v>
      </c>
    </row>
    <row r="444" spans="13:48" ht="12.75">
      <c r="M444" s="15"/>
      <c r="N444" s="15"/>
      <c r="AQ444" t="s">
        <v>38</v>
      </c>
      <c r="AU444" s="36">
        <v>4.640419271600068</v>
      </c>
      <c r="AV444" s="41">
        <v>15.045944307686197</v>
      </c>
    </row>
    <row r="445" spans="5:47" ht="12.75">
      <c r="E445" t="s">
        <v>106</v>
      </c>
      <c r="F445">
        <v>0</v>
      </c>
      <c r="M445" s="15"/>
      <c r="N445" s="15"/>
      <c r="AP445" t="s">
        <v>106</v>
      </c>
      <c r="AU445" t="s">
        <v>61</v>
      </c>
    </row>
    <row r="446" ht="12.75">
      <c r="AP446" t="s">
        <v>0</v>
      </c>
    </row>
    <row r="448" spans="1:5" ht="12.75">
      <c r="A448" t="s">
        <v>82</v>
      </c>
      <c r="E448" t="s">
        <v>49</v>
      </c>
    </row>
    <row r="449" spans="2:3" ht="12.75">
      <c r="B449" t="s">
        <v>98</v>
      </c>
      <c r="C449" s="48">
        <v>0.04440601219390734</v>
      </c>
    </row>
    <row r="450" spans="2:26" ht="12.75">
      <c r="B450" t="s">
        <v>99</v>
      </c>
      <c r="C450" s="48">
        <v>0.23743677185944534</v>
      </c>
      <c r="Z450" s="21" t="s">
        <v>34</v>
      </c>
    </row>
    <row r="451" spans="2:3" ht="12.75">
      <c r="B451" t="s">
        <v>100</v>
      </c>
      <c r="C451" s="48">
        <v>0.11241050608558033</v>
      </c>
    </row>
    <row r="452" spans="2:42" ht="12.75">
      <c r="B452" t="s">
        <v>5</v>
      </c>
      <c r="C452" s="48">
        <v>0.19820680473357705</v>
      </c>
      <c r="G452" s="21" t="s">
        <v>107</v>
      </c>
      <c r="O452" s="42"/>
      <c r="Z452" s="21" t="s">
        <v>101</v>
      </c>
      <c r="AP452" t="s">
        <v>108</v>
      </c>
    </row>
    <row r="453" spans="23:43" ht="12.75">
      <c r="W453" s="30" t="s">
        <v>22</v>
      </c>
      <c r="X453" s="15" t="s">
        <v>2</v>
      </c>
      <c r="AP453" t="s">
        <v>22</v>
      </c>
      <c r="AQ453" t="s">
        <v>37</v>
      </c>
    </row>
    <row r="454" spans="5:52" ht="12.75">
      <c r="E454" s="2"/>
      <c r="F454" s="2"/>
      <c r="G454" s="8">
        <v>0</v>
      </c>
      <c r="H454" s="5">
        <v>0</v>
      </c>
      <c r="I454" s="5">
        <v>0</v>
      </c>
      <c r="J454" s="5">
        <v>0</v>
      </c>
      <c r="K454" s="5">
        <v>0</v>
      </c>
      <c r="L454" s="5">
        <v>0</v>
      </c>
      <c r="M454" s="5">
        <v>0</v>
      </c>
      <c r="N454" s="5">
        <v>0</v>
      </c>
      <c r="O454" s="38">
        <v>0.7665694306849321</v>
      </c>
      <c r="P454" s="38">
        <v>0.06344852401749371</v>
      </c>
      <c r="Q454" s="38">
        <v>0.09211842986658518</v>
      </c>
      <c r="R454" s="8">
        <v>0</v>
      </c>
      <c r="S454" s="5">
        <v>0</v>
      </c>
      <c r="T454" s="5">
        <v>0</v>
      </c>
      <c r="U454" s="5">
        <v>0</v>
      </c>
      <c r="V454" s="38">
        <v>0.07786361543098913</v>
      </c>
      <c r="W454" s="17">
        <v>1</v>
      </c>
      <c r="X454" s="15" t="s">
        <v>97</v>
      </c>
      <c r="Z454" s="34">
        <v>0</v>
      </c>
      <c r="AA454" s="8">
        <v>0</v>
      </c>
      <c r="AB454" s="8">
        <v>0</v>
      </c>
      <c r="AC454" s="8">
        <v>0</v>
      </c>
      <c r="AD454" s="8">
        <v>0</v>
      </c>
      <c r="AE454" s="8">
        <v>0</v>
      </c>
      <c r="AF454" s="8">
        <v>0</v>
      </c>
      <c r="AG454" s="8">
        <v>0</v>
      </c>
      <c r="AH454" s="34">
        <v>0.7665694306849321</v>
      </c>
      <c r="AI454" s="35">
        <v>0.06344852401749371</v>
      </c>
      <c r="AJ454" s="8">
        <v>0.09211842986658518</v>
      </c>
      <c r="AK454" s="8">
        <v>0</v>
      </c>
      <c r="AL454" s="8">
        <v>0</v>
      </c>
      <c r="AM454" s="8">
        <v>0</v>
      </c>
      <c r="AN454" s="8">
        <v>0</v>
      </c>
      <c r="AO454" s="8">
        <v>0.07786361543098913</v>
      </c>
      <c r="AP454" s="6">
        <v>1</v>
      </c>
      <c r="AX454" s="53" t="s">
        <v>90</v>
      </c>
      <c r="AY454" s="53" t="s">
        <v>91</v>
      </c>
      <c r="AZ454" s="53"/>
    </row>
    <row r="455" spans="2:61" ht="12.75">
      <c r="B455" t="s">
        <v>1</v>
      </c>
      <c r="C455" t="s">
        <v>102</v>
      </c>
      <c r="D455" t="s">
        <v>103</v>
      </c>
      <c r="E455" t="s">
        <v>104</v>
      </c>
      <c r="F455" t="s">
        <v>105</v>
      </c>
      <c r="G455" s="23" t="s">
        <v>6</v>
      </c>
      <c r="H455" s="7" t="s">
        <v>8</v>
      </c>
      <c r="I455" s="7" t="s">
        <v>9</v>
      </c>
      <c r="J455" s="7" t="s">
        <v>10</v>
      </c>
      <c r="K455" s="7" t="s">
        <v>11</v>
      </c>
      <c r="L455" s="7" t="s">
        <v>12</v>
      </c>
      <c r="M455" s="7" t="s">
        <v>13</v>
      </c>
      <c r="N455" s="26" t="s">
        <v>14</v>
      </c>
      <c r="O455" s="7" t="s">
        <v>7</v>
      </c>
      <c r="P455" s="7" t="s">
        <v>15</v>
      </c>
      <c r="Q455" s="7" t="s">
        <v>16</v>
      </c>
      <c r="R455" s="7" t="s">
        <v>17</v>
      </c>
      <c r="S455" s="7" t="s">
        <v>18</v>
      </c>
      <c r="T455" s="7" t="s">
        <v>19</v>
      </c>
      <c r="U455" s="7" t="s">
        <v>20</v>
      </c>
      <c r="V455" s="31" t="s">
        <v>21</v>
      </c>
      <c r="W455" s="31"/>
      <c r="Z455" s="23" t="s">
        <v>6</v>
      </c>
      <c r="AA455" s="7" t="s">
        <v>8</v>
      </c>
      <c r="AB455" s="7" t="s">
        <v>9</v>
      </c>
      <c r="AC455" s="7" t="s">
        <v>10</v>
      </c>
      <c r="AD455" s="7" t="s">
        <v>11</v>
      </c>
      <c r="AE455" s="7" t="s">
        <v>12</v>
      </c>
      <c r="AF455" s="7" t="s">
        <v>13</v>
      </c>
      <c r="AG455" s="26" t="s">
        <v>14</v>
      </c>
      <c r="AH455" s="7" t="s">
        <v>7</v>
      </c>
      <c r="AI455" s="7" t="s">
        <v>15</v>
      </c>
      <c r="AJ455" s="7" t="s">
        <v>16</v>
      </c>
      <c r="AK455" s="7" t="s">
        <v>17</v>
      </c>
      <c r="AL455" s="7" t="s">
        <v>18</v>
      </c>
      <c r="AM455" s="7" t="s">
        <v>19</v>
      </c>
      <c r="AN455" s="7" t="s">
        <v>20</v>
      </c>
      <c r="AO455" s="31" t="s">
        <v>21</v>
      </c>
      <c r="AP455" s="6"/>
      <c r="AR455" t="s">
        <v>65</v>
      </c>
      <c r="AS455" t="s">
        <v>59</v>
      </c>
      <c r="AT455" t="s">
        <v>60</v>
      </c>
      <c r="AU455" t="s">
        <v>62</v>
      </c>
      <c r="AW455" t="s">
        <v>63</v>
      </c>
      <c r="AX455" s="53"/>
      <c r="AY455" s="53"/>
      <c r="AZ455" s="53"/>
      <c r="BD455" t="s">
        <v>84</v>
      </c>
      <c r="BE455" t="s">
        <v>85</v>
      </c>
      <c r="BF455" t="s">
        <v>86</v>
      </c>
      <c r="BG455" t="s">
        <v>87</v>
      </c>
      <c r="BH455" t="s">
        <v>88</v>
      </c>
      <c r="BI455" t="s">
        <v>89</v>
      </c>
    </row>
    <row r="456" spans="2:61" ht="12.75">
      <c r="B456" s="16" t="s">
        <v>6</v>
      </c>
      <c r="C456">
        <v>27</v>
      </c>
      <c r="G456" s="19">
        <v>0</v>
      </c>
      <c r="H456" s="4">
        <v>0</v>
      </c>
      <c r="I456" s="4">
        <v>0</v>
      </c>
      <c r="J456" s="4">
        <v>0</v>
      </c>
      <c r="K456" s="4">
        <v>0</v>
      </c>
      <c r="L456" s="4">
        <v>0</v>
      </c>
      <c r="M456" s="4">
        <v>0</v>
      </c>
      <c r="N456" s="27">
        <v>0</v>
      </c>
      <c r="O456" s="4">
        <v>0.09827238080608425</v>
      </c>
      <c r="P456" s="4">
        <v>0.0010301400094275082</v>
      </c>
      <c r="Q456" s="4">
        <v>0.0036770423179033965</v>
      </c>
      <c r="R456" s="4">
        <v>0</v>
      </c>
      <c r="S456" s="4">
        <v>0</v>
      </c>
      <c r="T456" s="4">
        <v>0</v>
      </c>
      <c r="U456" s="4">
        <v>0</v>
      </c>
      <c r="V456" s="17">
        <v>1.829151938919762E-05</v>
      </c>
      <c r="W456" s="17">
        <v>0.10299785465280437</v>
      </c>
      <c r="X456" s="51">
        <v>24.925480825978656</v>
      </c>
      <c r="Y456" s="18"/>
      <c r="Z456" s="19">
        <v>0</v>
      </c>
      <c r="AA456" s="4">
        <v>0</v>
      </c>
      <c r="AB456" s="4">
        <v>0</v>
      </c>
      <c r="AC456" s="4">
        <v>0</v>
      </c>
      <c r="AD456" s="4">
        <v>0</v>
      </c>
      <c r="AE456" s="4">
        <v>0</v>
      </c>
      <c r="AF456" s="4">
        <v>0</v>
      </c>
      <c r="AG456" s="4">
        <v>0</v>
      </c>
      <c r="AH456" s="19">
        <v>0.01259828587303183</v>
      </c>
      <c r="AI456" s="17">
        <v>1.672518715692616E-05</v>
      </c>
      <c r="AJ456" s="4">
        <v>0.0001467745404175286</v>
      </c>
      <c r="AK456" s="4">
        <v>0</v>
      </c>
      <c r="AL456" s="4">
        <v>0</v>
      </c>
      <c r="AM456" s="4">
        <v>0</v>
      </c>
      <c r="AN456" s="4">
        <v>0</v>
      </c>
      <c r="AO456" s="4">
        <v>4.296996481776935E-09</v>
      </c>
      <c r="AP456" s="6">
        <v>0.012761789897602767</v>
      </c>
      <c r="AQ456">
        <v>0.17265985091435934</v>
      </c>
      <c r="AR456">
        <v>0</v>
      </c>
      <c r="AS456">
        <v>4.303629803382197</v>
      </c>
      <c r="AT456">
        <v>0</v>
      </c>
      <c r="AU456">
        <v>0</v>
      </c>
      <c r="AV456">
        <v>0.17265985091435934</v>
      </c>
      <c r="AW456">
        <v>1</v>
      </c>
      <c r="AX456" s="53">
        <f>100*(C460+C461+C462+C463+C468+C469+C470+C471)/C472</f>
        <v>10.743801652892563</v>
      </c>
      <c r="AY456" s="53">
        <f>100*(X460+X461+X462+X463+X468+X469+X470+X471)/X472</f>
        <v>11.535440231231604</v>
      </c>
      <c r="AZ456" s="53" t="s">
        <v>93</v>
      </c>
      <c r="BD456">
        <v>0</v>
      </c>
      <c r="BE456">
        <v>0</v>
      </c>
      <c r="BF456">
        <v>0</v>
      </c>
      <c r="BG456">
        <v>0</v>
      </c>
      <c r="BH456">
        <v>27</v>
      </c>
      <c r="BI456" s="51">
        <v>24.925480825978656</v>
      </c>
    </row>
    <row r="457" spans="2:61" ht="12.75">
      <c r="B457" s="16" t="s">
        <v>8</v>
      </c>
      <c r="C457">
        <v>5</v>
      </c>
      <c r="G457" s="19">
        <v>0</v>
      </c>
      <c r="H457" s="4">
        <v>0</v>
      </c>
      <c r="I457" s="4">
        <v>0</v>
      </c>
      <c r="J457" s="4">
        <v>0</v>
      </c>
      <c r="K457" s="4">
        <v>0</v>
      </c>
      <c r="L457" s="4">
        <v>0</v>
      </c>
      <c r="M457" s="4">
        <v>0</v>
      </c>
      <c r="N457" s="27">
        <v>0</v>
      </c>
      <c r="O457" s="4">
        <v>0.012445897722299903</v>
      </c>
      <c r="P457" s="4">
        <v>0.008133950121465084</v>
      </c>
      <c r="Q457" s="4">
        <v>0.0004656862104470445</v>
      </c>
      <c r="R457" s="4">
        <v>0</v>
      </c>
      <c r="S457" s="4">
        <v>0</v>
      </c>
      <c r="T457" s="4">
        <v>0</v>
      </c>
      <c r="U457" s="4">
        <v>0</v>
      </c>
      <c r="V457" s="17">
        <v>0.0001444292086473075</v>
      </c>
      <c r="W457" s="17">
        <v>0.021189963262859338</v>
      </c>
      <c r="X457" s="51">
        <v>5.12797110961196</v>
      </c>
      <c r="Y457" s="18"/>
      <c r="Z457" s="19">
        <v>0</v>
      </c>
      <c r="AA457" s="4">
        <v>0</v>
      </c>
      <c r="AB457" s="4">
        <v>0</v>
      </c>
      <c r="AC457" s="4">
        <v>0</v>
      </c>
      <c r="AD457" s="4">
        <v>0</v>
      </c>
      <c r="AE457" s="4">
        <v>0</v>
      </c>
      <c r="AF457" s="4">
        <v>0</v>
      </c>
      <c r="AG457" s="4">
        <v>0</v>
      </c>
      <c r="AH457" s="19">
        <v>0.00020206958941155004</v>
      </c>
      <c r="AI457" s="17">
        <v>0.0010427530916281083</v>
      </c>
      <c r="AJ457" s="4">
        <v>2.3541830545159303E-06</v>
      </c>
      <c r="AK457" s="4">
        <v>0</v>
      </c>
      <c r="AL457" s="4">
        <v>0</v>
      </c>
      <c r="AM457" s="4">
        <v>0</v>
      </c>
      <c r="AN457" s="4">
        <v>0</v>
      </c>
      <c r="AO457" s="4">
        <v>2.679017175740525E-07</v>
      </c>
      <c r="AP457" s="6">
        <v>0.0012474447658117483</v>
      </c>
      <c r="AQ457">
        <v>0.0031935836893892955</v>
      </c>
      <c r="AR457">
        <v>0</v>
      </c>
      <c r="AS457">
        <v>0.016376604895316282</v>
      </c>
      <c r="AT457">
        <v>0</v>
      </c>
      <c r="AU457">
        <v>0</v>
      </c>
      <c r="AV457">
        <v>0.0031935836893892955</v>
      </c>
      <c r="AW457">
        <v>1</v>
      </c>
      <c r="AX457" s="53">
        <f>100*(C458+C459+C462+C463+C466+C467+C470+C471)/C472</f>
        <v>33.47107438016529</v>
      </c>
      <c r="AY457" s="53">
        <f>100*(X458+X459+X462+X463+X466+X467+X470+X471)/X472</f>
        <v>32.669884093797556</v>
      </c>
      <c r="AZ457" s="53" t="s">
        <v>94</v>
      </c>
      <c r="BD457">
        <v>0</v>
      </c>
      <c r="BE457">
        <v>0</v>
      </c>
      <c r="BF457">
        <v>0</v>
      </c>
      <c r="BG457">
        <v>1</v>
      </c>
      <c r="BH457">
        <v>99</v>
      </c>
      <c r="BI457" s="51">
        <v>100.82943893816692</v>
      </c>
    </row>
    <row r="458" spans="2:61" ht="12.75">
      <c r="B458" s="16" t="s">
        <v>9</v>
      </c>
      <c r="C458">
        <v>8</v>
      </c>
      <c r="G458" s="19">
        <v>0</v>
      </c>
      <c r="H458" s="4">
        <v>0</v>
      </c>
      <c r="I458" s="4">
        <v>0</v>
      </c>
      <c r="J458" s="4">
        <v>0</v>
      </c>
      <c r="K458" s="4">
        <v>0</v>
      </c>
      <c r="L458" s="4">
        <v>0</v>
      </c>
      <c r="M458" s="4">
        <v>0</v>
      </c>
      <c r="N458" s="27">
        <v>0</v>
      </c>
      <c r="O458" s="4">
        <v>0.030598743816215013</v>
      </c>
      <c r="P458" s="4">
        <v>0.0003207512628141611</v>
      </c>
      <c r="Q458" s="4">
        <v>0.011809363975053128</v>
      </c>
      <c r="R458" s="4">
        <v>0</v>
      </c>
      <c r="S458" s="4">
        <v>0</v>
      </c>
      <c r="T458" s="4">
        <v>0</v>
      </c>
      <c r="U458" s="4">
        <v>0</v>
      </c>
      <c r="V458" s="17">
        <v>5.8745913549056736E-05</v>
      </c>
      <c r="W458" s="17">
        <v>0.04278760496763136</v>
      </c>
      <c r="X458" s="51">
        <v>10.354600402166788</v>
      </c>
      <c r="Y458" s="18"/>
      <c r="Z458" s="19">
        <v>0</v>
      </c>
      <c r="AA458" s="4">
        <v>0</v>
      </c>
      <c r="AB458" s="4">
        <v>0</v>
      </c>
      <c r="AC458" s="4">
        <v>0</v>
      </c>
      <c r="AD458" s="4">
        <v>0</v>
      </c>
      <c r="AE458" s="4">
        <v>0</v>
      </c>
      <c r="AF458" s="4">
        <v>0</v>
      </c>
      <c r="AG458" s="4">
        <v>0</v>
      </c>
      <c r="AH458" s="19">
        <v>0.0012213937650680704</v>
      </c>
      <c r="AI458" s="17">
        <v>1.6214935522930859E-06</v>
      </c>
      <c r="AJ458" s="4">
        <v>0.0015139324204425067</v>
      </c>
      <c r="AK458" s="4">
        <v>0</v>
      </c>
      <c r="AL458" s="4">
        <v>0</v>
      </c>
      <c r="AM458" s="4">
        <v>0</v>
      </c>
      <c r="AN458" s="4">
        <v>0</v>
      </c>
      <c r="AO458" s="4">
        <v>4.4322143784499166E-08</v>
      </c>
      <c r="AP458" s="6">
        <v>0.0027369920012066547</v>
      </c>
      <c r="AQ458">
        <v>0.5354280067363915</v>
      </c>
      <c r="AR458">
        <v>0</v>
      </c>
      <c r="AS458">
        <v>5.544143053884001</v>
      </c>
      <c r="AT458">
        <v>0</v>
      </c>
      <c r="AU458">
        <v>0</v>
      </c>
      <c r="AV458">
        <v>0.5354280067363915</v>
      </c>
      <c r="AW458">
        <v>1</v>
      </c>
      <c r="AX458" s="53">
        <f>100*(C457+C459+C461+C463+C465+C467+C469+C471)/C472</f>
        <v>22.31404958677686</v>
      </c>
      <c r="AY458" s="53">
        <f>100*(X457+X459+X461+X463+X465+X467+X469+X471)/X472</f>
        <v>22.195270731118313</v>
      </c>
      <c r="AZ458" s="53" t="s">
        <v>95</v>
      </c>
      <c r="BD458">
        <v>0</v>
      </c>
      <c r="BE458">
        <v>0</v>
      </c>
      <c r="BF458">
        <v>1</v>
      </c>
      <c r="BG458">
        <v>0</v>
      </c>
      <c r="BH458">
        <v>5</v>
      </c>
      <c r="BI458" s="51">
        <v>5.12797110961196</v>
      </c>
    </row>
    <row r="459" spans="2:61" ht="12.75">
      <c r="B459" s="16" t="s">
        <v>10</v>
      </c>
      <c r="C459">
        <v>4</v>
      </c>
      <c r="G459" s="19">
        <v>0</v>
      </c>
      <c r="H459" s="4">
        <v>0</v>
      </c>
      <c r="I459" s="4">
        <v>0</v>
      </c>
      <c r="J459" s="4">
        <v>0</v>
      </c>
      <c r="K459" s="4">
        <v>0</v>
      </c>
      <c r="L459" s="4">
        <v>0</v>
      </c>
      <c r="M459" s="4">
        <v>0</v>
      </c>
      <c r="N459" s="27">
        <v>0</v>
      </c>
      <c r="O459" s="4">
        <v>0.0038752377101653654</v>
      </c>
      <c r="P459" s="4">
        <v>0.002532640950988051</v>
      </c>
      <c r="Q459" s="4">
        <v>0.001495619979828804</v>
      </c>
      <c r="R459" s="4">
        <v>0</v>
      </c>
      <c r="S459" s="4">
        <v>0</v>
      </c>
      <c r="T459" s="4">
        <v>0</v>
      </c>
      <c r="U459" s="4">
        <v>0</v>
      </c>
      <c r="V459" s="17">
        <v>0.00046385571502409744</v>
      </c>
      <c r="W459" s="17">
        <v>0.008367354356006319</v>
      </c>
      <c r="X459" s="51">
        <v>2.024899754153529</v>
      </c>
      <c r="Y459" s="18"/>
      <c r="Z459" s="19">
        <v>0</v>
      </c>
      <c r="AA459" s="4">
        <v>0</v>
      </c>
      <c r="AB459" s="4">
        <v>0</v>
      </c>
      <c r="AC459" s="4">
        <v>0</v>
      </c>
      <c r="AD459" s="4">
        <v>0</v>
      </c>
      <c r="AE459" s="4">
        <v>0</v>
      </c>
      <c r="AF459" s="4">
        <v>0</v>
      </c>
      <c r="AG459" s="4">
        <v>0</v>
      </c>
      <c r="AH459" s="19">
        <v>1.959048549179629E-05</v>
      </c>
      <c r="AI459" s="17">
        <v>0.00010109408037377116</v>
      </c>
      <c r="AJ459" s="4">
        <v>2.42826449311259E-05</v>
      </c>
      <c r="AK459" s="4">
        <v>0</v>
      </c>
      <c r="AL459" s="4">
        <v>0</v>
      </c>
      <c r="AM459" s="4">
        <v>0</v>
      </c>
      <c r="AN459" s="4">
        <v>0</v>
      </c>
      <c r="AO459" s="4">
        <v>2.763320495324493E-06</v>
      </c>
      <c r="AP459" s="6">
        <v>0.00014773053129201784</v>
      </c>
      <c r="AQ459">
        <v>1.9265254850966875</v>
      </c>
      <c r="AR459">
        <v>1</v>
      </c>
      <c r="AS459">
        <v>3.9010209811427905</v>
      </c>
      <c r="AT459">
        <v>2.024899754153529</v>
      </c>
      <c r="AU459">
        <v>4</v>
      </c>
      <c r="AV459">
        <v>0</v>
      </c>
      <c r="AW459">
        <v>0</v>
      </c>
      <c r="AX459" s="53">
        <f>100*(C464+C465+C466+C467+C468+C469+C470+C471)/C472</f>
        <v>78.51239669421487</v>
      </c>
      <c r="AY459" s="53">
        <f>100*(X464+X465+X466+X467+X468+X469+X470+X471)/X472</f>
        <v>80.1793195266423</v>
      </c>
      <c r="AZ459" s="53" t="s">
        <v>96</v>
      </c>
      <c r="BD459">
        <v>0</v>
      </c>
      <c r="BE459">
        <v>0</v>
      </c>
      <c r="BF459">
        <v>1</v>
      </c>
      <c r="BG459">
        <v>1</v>
      </c>
      <c r="BH459">
        <v>21</v>
      </c>
      <c r="BI459" s="51">
        <v>20.74385057938004</v>
      </c>
    </row>
    <row r="460" spans="2:61" ht="12.75">
      <c r="B460" s="3" t="s">
        <v>11</v>
      </c>
      <c r="C460">
        <v>0</v>
      </c>
      <c r="G460" s="19">
        <v>0</v>
      </c>
      <c r="H460" s="4">
        <v>0</v>
      </c>
      <c r="I460" s="4">
        <v>0</v>
      </c>
      <c r="J460" s="4">
        <v>0</v>
      </c>
      <c r="K460" s="4">
        <v>0</v>
      </c>
      <c r="L460" s="4">
        <v>0</v>
      </c>
      <c r="M460" s="4">
        <v>0</v>
      </c>
      <c r="N460" s="27">
        <v>0</v>
      </c>
      <c r="O460" s="4">
        <v>0.004566672243740397</v>
      </c>
      <c r="P460" s="4">
        <v>4.7870131461471816E-05</v>
      </c>
      <c r="Q460" s="4">
        <v>0.00017087046181737237</v>
      </c>
      <c r="R460" s="4">
        <v>0</v>
      </c>
      <c r="S460" s="4">
        <v>0</v>
      </c>
      <c r="T460" s="4">
        <v>0</v>
      </c>
      <c r="U460" s="4">
        <v>0</v>
      </c>
      <c r="V460" s="17">
        <v>0.00039362386065718447</v>
      </c>
      <c r="W460" s="17">
        <v>0.005179036697676426</v>
      </c>
      <c r="X460" s="51">
        <v>1.2533268808376952</v>
      </c>
      <c r="Y460" s="18"/>
      <c r="Z460" s="19">
        <v>0</v>
      </c>
      <c r="AA460" s="4">
        <v>0</v>
      </c>
      <c r="AB460" s="4">
        <v>0</v>
      </c>
      <c r="AC460" s="4">
        <v>0</v>
      </c>
      <c r="AD460" s="4">
        <v>0</v>
      </c>
      <c r="AE460" s="4">
        <v>0</v>
      </c>
      <c r="AF460" s="4">
        <v>0</v>
      </c>
      <c r="AG460" s="4">
        <v>0</v>
      </c>
      <c r="AH460" s="19">
        <v>2.7204966108699896E-05</v>
      </c>
      <c r="AI460" s="17">
        <v>3.61166712957228E-08</v>
      </c>
      <c r="AJ460" s="4">
        <v>3.1694759413472E-07</v>
      </c>
      <c r="AK460" s="4">
        <v>0</v>
      </c>
      <c r="AL460" s="4">
        <v>0</v>
      </c>
      <c r="AM460" s="4">
        <v>0</v>
      </c>
      <c r="AN460" s="4">
        <v>0</v>
      </c>
      <c r="AO460" s="4">
        <v>1.9898863265088215E-06</v>
      </c>
      <c r="AP460" s="6">
        <v>2.9547916700639158E-05</v>
      </c>
      <c r="AQ460">
        <v>1.2533268808376952</v>
      </c>
      <c r="AR460">
        <v>1</v>
      </c>
      <c r="AS460">
        <v>1.5708282702303462</v>
      </c>
      <c r="AT460">
        <v>1.2533268808376952</v>
      </c>
      <c r="AU460">
        <v>0</v>
      </c>
      <c r="AV460">
        <v>0</v>
      </c>
      <c r="AW460">
        <v>0</v>
      </c>
      <c r="BD460">
        <v>0</v>
      </c>
      <c r="BE460">
        <v>1</v>
      </c>
      <c r="BF460">
        <v>0</v>
      </c>
      <c r="BG460">
        <v>0</v>
      </c>
      <c r="BH460">
        <v>8</v>
      </c>
      <c r="BI460" s="51">
        <v>10.354600402166788</v>
      </c>
    </row>
    <row r="461" spans="1:61" ht="12.75">
      <c r="A461" s="15"/>
      <c r="B461" s="16" t="s">
        <v>12</v>
      </c>
      <c r="C461">
        <v>3</v>
      </c>
      <c r="G461" s="19">
        <v>0</v>
      </c>
      <c r="H461" s="17">
        <v>0</v>
      </c>
      <c r="I461" s="17">
        <v>0</v>
      </c>
      <c r="J461" s="17">
        <v>0</v>
      </c>
      <c r="K461" s="17">
        <v>0</v>
      </c>
      <c r="L461" s="17">
        <v>0</v>
      </c>
      <c r="M461" s="17">
        <v>0</v>
      </c>
      <c r="N461" s="27">
        <v>0</v>
      </c>
      <c r="O461" s="17">
        <v>0.0005783551310211051</v>
      </c>
      <c r="P461" s="17">
        <v>0.00037798091332456754</v>
      </c>
      <c r="Q461" s="17">
        <v>2.1640223571438123E-05</v>
      </c>
      <c r="R461" s="17">
        <v>0</v>
      </c>
      <c r="S461" s="17">
        <v>0</v>
      </c>
      <c r="T461" s="17">
        <v>0</v>
      </c>
      <c r="U461" s="17">
        <v>0</v>
      </c>
      <c r="V461" s="17">
        <v>0.0031080404798405877</v>
      </c>
      <c r="W461" s="17">
        <v>0.004086016747757698</v>
      </c>
      <c r="X461" s="51">
        <v>0.988816052957363</v>
      </c>
      <c r="Y461" s="18"/>
      <c r="Z461" s="19">
        <v>0</v>
      </c>
      <c r="AA461" s="4">
        <v>0</v>
      </c>
      <c r="AB461" s="4">
        <v>0</v>
      </c>
      <c r="AC461" s="17">
        <v>0</v>
      </c>
      <c r="AD461" s="17">
        <v>0</v>
      </c>
      <c r="AE461" s="17">
        <v>0</v>
      </c>
      <c r="AF461" s="17">
        <v>0</v>
      </c>
      <c r="AG461" s="17">
        <v>0</v>
      </c>
      <c r="AH461" s="19">
        <v>4.363527218657385E-07</v>
      </c>
      <c r="AI461" s="17">
        <v>2.251739863929427E-06</v>
      </c>
      <c r="AJ461" s="17">
        <v>5.083665417442117E-09</v>
      </c>
      <c r="AK461" s="17">
        <v>0</v>
      </c>
      <c r="AL461" s="17">
        <v>0</v>
      </c>
      <c r="AM461" s="17">
        <v>0</v>
      </c>
      <c r="AN461" s="17">
        <v>0</v>
      </c>
      <c r="AO461" s="17">
        <v>0.00012406199700409928</v>
      </c>
      <c r="AP461" s="6">
        <v>0.0001267551732553119</v>
      </c>
      <c r="AQ461">
        <v>4.090610034843773</v>
      </c>
      <c r="AR461">
        <v>1</v>
      </c>
      <c r="AS461">
        <v>4.044860868842001</v>
      </c>
      <c r="AT461">
        <v>0.988816052957363</v>
      </c>
      <c r="AU461">
        <v>3</v>
      </c>
      <c r="AV461">
        <v>0</v>
      </c>
      <c r="AW461">
        <v>0</v>
      </c>
      <c r="AX461" s="15"/>
      <c r="BD461">
        <v>0</v>
      </c>
      <c r="BE461">
        <v>1</v>
      </c>
      <c r="BF461">
        <v>0</v>
      </c>
      <c r="BG461">
        <v>1</v>
      </c>
      <c r="BH461">
        <v>44</v>
      </c>
      <c r="BI461" s="51">
        <v>41.886796738991386</v>
      </c>
    </row>
    <row r="462" spans="1:61" ht="12.75">
      <c r="A462" s="15"/>
      <c r="B462" s="16" t="s">
        <v>13</v>
      </c>
      <c r="C462">
        <v>3</v>
      </c>
      <c r="G462" s="19">
        <v>0</v>
      </c>
      <c r="H462" s="17">
        <v>0</v>
      </c>
      <c r="I462" s="17">
        <v>0</v>
      </c>
      <c r="J462" s="17">
        <v>0</v>
      </c>
      <c r="K462" s="17">
        <v>0</v>
      </c>
      <c r="L462" s="17">
        <v>0</v>
      </c>
      <c r="M462" s="17">
        <v>0</v>
      </c>
      <c r="N462" s="27">
        <v>0</v>
      </c>
      <c r="O462" s="17">
        <v>0.0014219095226212428</v>
      </c>
      <c r="P462" s="17">
        <v>1.4905163353358225E-05</v>
      </c>
      <c r="Q462" s="17">
        <v>0.000548775701155741</v>
      </c>
      <c r="R462" s="17">
        <v>0</v>
      </c>
      <c r="S462" s="17">
        <v>0</v>
      </c>
      <c r="T462" s="17">
        <v>0</v>
      </c>
      <c r="U462" s="17">
        <v>0</v>
      </c>
      <c r="V462" s="17">
        <v>0.0012641811102181637</v>
      </c>
      <c r="W462" s="17">
        <v>0.0032497714973485055</v>
      </c>
      <c r="X462" s="51">
        <v>0.7864447023583383</v>
      </c>
      <c r="Y462" s="18"/>
      <c r="Z462" s="19">
        <v>0</v>
      </c>
      <c r="AA462" s="4">
        <v>0</v>
      </c>
      <c r="AB462" s="4">
        <v>0</v>
      </c>
      <c r="AC462" s="17">
        <v>0</v>
      </c>
      <c r="AD462" s="17">
        <v>0</v>
      </c>
      <c r="AE462" s="17">
        <v>0</v>
      </c>
      <c r="AF462" s="17">
        <v>0</v>
      </c>
      <c r="AG462" s="17">
        <v>0</v>
      </c>
      <c r="AH462" s="19">
        <v>2.637499761390775E-06</v>
      </c>
      <c r="AI462" s="17">
        <v>3.501482469931674E-09</v>
      </c>
      <c r="AJ462" s="17">
        <v>3.2692130186666954E-06</v>
      </c>
      <c r="AK462" s="17">
        <v>0</v>
      </c>
      <c r="AL462" s="17">
        <v>0</v>
      </c>
      <c r="AM462" s="17">
        <v>0</v>
      </c>
      <c r="AN462" s="17">
        <v>0</v>
      </c>
      <c r="AO462" s="17">
        <v>2.0525040747033895E-05</v>
      </c>
      <c r="AP462" s="6">
        <v>2.6435255009561295E-05</v>
      </c>
      <c r="AQ462">
        <v>6.230351658577125</v>
      </c>
      <c r="AR462">
        <v>1</v>
      </c>
      <c r="AS462">
        <v>4.899827055717466</v>
      </c>
      <c r="AT462">
        <v>0.7864447023583383</v>
      </c>
      <c r="AU462">
        <v>3</v>
      </c>
      <c r="AV462">
        <v>0</v>
      </c>
      <c r="AW462">
        <v>0</v>
      </c>
      <c r="AX462" s="15"/>
      <c r="BD462">
        <v>0</v>
      </c>
      <c r="BE462">
        <v>1</v>
      </c>
      <c r="BF462">
        <v>1</v>
      </c>
      <c r="BG462">
        <v>0</v>
      </c>
      <c r="BH462">
        <v>4</v>
      </c>
      <c r="BI462" s="51">
        <v>2.024899754153529</v>
      </c>
    </row>
    <row r="463" spans="1:61" ht="13.5" thickBot="1">
      <c r="A463" s="11" t="s">
        <v>4</v>
      </c>
      <c r="B463" s="12" t="s">
        <v>14</v>
      </c>
      <c r="C463">
        <v>2</v>
      </c>
      <c r="G463" s="20">
        <v>0</v>
      </c>
      <c r="H463" s="13">
        <v>0</v>
      </c>
      <c r="I463" s="13">
        <v>0</v>
      </c>
      <c r="J463" s="13">
        <v>0</v>
      </c>
      <c r="K463" s="13">
        <v>0</v>
      </c>
      <c r="L463" s="13">
        <v>0</v>
      </c>
      <c r="M463" s="13">
        <v>0</v>
      </c>
      <c r="N463" s="28">
        <v>0</v>
      </c>
      <c r="O463" s="13">
        <v>0.00018008051035039763</v>
      </c>
      <c r="P463" s="13">
        <v>0.00011769065773484709</v>
      </c>
      <c r="Q463" s="13">
        <v>6.950077115303704E-05</v>
      </c>
      <c r="R463" s="13">
        <v>0</v>
      </c>
      <c r="S463" s="13">
        <v>0</v>
      </c>
      <c r="T463" s="13">
        <v>0</v>
      </c>
      <c r="U463" s="13">
        <v>0</v>
      </c>
      <c r="V463" s="13">
        <v>0.009981930612254804</v>
      </c>
      <c r="W463" s="13">
        <v>0.010349202551493086</v>
      </c>
      <c r="X463" s="52">
        <v>2.504507017461327</v>
      </c>
      <c r="Y463" s="14"/>
      <c r="Z463" s="20">
        <v>0</v>
      </c>
      <c r="AA463" s="13">
        <v>0</v>
      </c>
      <c r="AB463" s="13">
        <v>0</v>
      </c>
      <c r="AC463" s="13">
        <v>0</v>
      </c>
      <c r="AD463" s="13">
        <v>0</v>
      </c>
      <c r="AE463" s="13">
        <v>0</v>
      </c>
      <c r="AF463" s="13">
        <v>0</v>
      </c>
      <c r="AG463" s="13">
        <v>0</v>
      </c>
      <c r="AH463" s="20">
        <v>4.230404828312064E-08</v>
      </c>
      <c r="AI463" s="13">
        <v>2.183043834753661E-07</v>
      </c>
      <c r="AJ463" s="13">
        <v>5.2436382142668045E-08</v>
      </c>
      <c r="AK463" s="13">
        <v>0</v>
      </c>
      <c r="AL463" s="13">
        <v>0</v>
      </c>
      <c r="AM463" s="13">
        <v>0</v>
      </c>
      <c r="AN463" s="13">
        <v>0</v>
      </c>
      <c r="AO463" s="13">
        <v>0.001279659802545131</v>
      </c>
      <c r="AP463" s="6">
        <v>0.0012799728473590322</v>
      </c>
      <c r="AQ463">
        <v>0.10162771710886366</v>
      </c>
      <c r="AR463">
        <v>1</v>
      </c>
      <c r="AS463">
        <v>0.2545273306677236</v>
      </c>
      <c r="AT463">
        <v>2.504507017461327</v>
      </c>
      <c r="AU463">
        <v>2</v>
      </c>
      <c r="AV463">
        <v>0</v>
      </c>
      <c r="AW463">
        <v>0</v>
      </c>
      <c r="AX463" s="11"/>
      <c r="BD463">
        <v>0</v>
      </c>
      <c r="BE463">
        <v>1</v>
      </c>
      <c r="BF463">
        <v>1</v>
      </c>
      <c r="BG463">
        <v>1</v>
      </c>
      <c r="BH463">
        <v>8</v>
      </c>
      <c r="BI463" s="52">
        <v>8.191196291970273</v>
      </c>
    </row>
    <row r="464" spans="2:61" ht="12.75">
      <c r="B464" s="3" t="s">
        <v>7</v>
      </c>
      <c r="C464">
        <v>99</v>
      </c>
      <c r="G464" s="19">
        <v>0</v>
      </c>
      <c r="H464" s="4">
        <v>0</v>
      </c>
      <c r="I464" s="4">
        <v>0</v>
      </c>
      <c r="J464" s="4">
        <v>0</v>
      </c>
      <c r="K464" s="4">
        <v>0</v>
      </c>
      <c r="L464" s="4">
        <v>0</v>
      </c>
      <c r="M464" s="4">
        <v>0</v>
      </c>
      <c r="N464" s="27">
        <v>0</v>
      </c>
      <c r="O464" s="4">
        <v>0.39753491974638006</v>
      </c>
      <c r="P464" s="4">
        <v>0.0041671588966932386</v>
      </c>
      <c r="Q464" s="4">
        <v>0.01487450197870112</v>
      </c>
      <c r="R464" s="4">
        <v>0</v>
      </c>
      <c r="S464" s="4">
        <v>0</v>
      </c>
      <c r="T464" s="4">
        <v>0</v>
      </c>
      <c r="U464" s="4">
        <v>0</v>
      </c>
      <c r="V464" s="17">
        <v>7.399350288228529E-05</v>
      </c>
      <c r="W464" s="17">
        <v>0.41665057412465667</v>
      </c>
      <c r="X464" s="51">
        <v>100.82943893816692</v>
      </c>
      <c r="Y464" s="18"/>
      <c r="Z464" s="19">
        <v>0</v>
      </c>
      <c r="AA464" s="4">
        <v>0</v>
      </c>
      <c r="AB464" s="19">
        <v>0</v>
      </c>
      <c r="AC464" s="4">
        <v>0</v>
      </c>
      <c r="AD464" s="4">
        <v>0</v>
      </c>
      <c r="AE464" s="4">
        <v>0</v>
      </c>
      <c r="AF464" s="4">
        <v>0</v>
      </c>
      <c r="AG464" s="4">
        <v>0</v>
      </c>
      <c r="AH464" s="19">
        <v>0.20615746740195073</v>
      </c>
      <c r="AI464" s="17">
        <v>0.0002736897908846824</v>
      </c>
      <c r="AJ464" s="4">
        <v>0.002401808296502886</v>
      </c>
      <c r="AK464" s="4">
        <v>0</v>
      </c>
      <c r="AL464" s="4">
        <v>0</v>
      </c>
      <c r="AM464" s="4">
        <v>0</v>
      </c>
      <c r="AN464" s="4">
        <v>0</v>
      </c>
      <c r="AO464" s="4">
        <v>7.03157493841692E-08</v>
      </c>
      <c r="AP464" s="6">
        <v>0.2088330358050877</v>
      </c>
      <c r="AQ464">
        <v>0.033193151362606796</v>
      </c>
      <c r="AR464">
        <v>0</v>
      </c>
      <c r="AS464">
        <v>3.346846828481294</v>
      </c>
      <c r="AT464">
        <v>0</v>
      </c>
      <c r="AU464">
        <v>0</v>
      </c>
      <c r="AV464">
        <v>0.033193151362606796</v>
      </c>
      <c r="AW464">
        <v>1</v>
      </c>
      <c r="BD464">
        <v>1</v>
      </c>
      <c r="BE464">
        <v>0</v>
      </c>
      <c r="BF464">
        <v>0</v>
      </c>
      <c r="BG464">
        <v>0</v>
      </c>
      <c r="BH464">
        <v>0</v>
      </c>
      <c r="BI464" s="51">
        <v>1.2533268808376952</v>
      </c>
    </row>
    <row r="465" spans="2:61" ht="12.75">
      <c r="B465" s="3" t="s">
        <v>15</v>
      </c>
      <c r="C465">
        <v>21</v>
      </c>
      <c r="G465" s="19">
        <v>0</v>
      </c>
      <c r="H465" s="4">
        <v>0</v>
      </c>
      <c r="I465" s="4">
        <v>0</v>
      </c>
      <c r="J465" s="4">
        <v>0</v>
      </c>
      <c r="K465" s="4">
        <v>0</v>
      </c>
      <c r="L465" s="4">
        <v>0</v>
      </c>
      <c r="M465" s="4">
        <v>0</v>
      </c>
      <c r="N465" s="27">
        <v>0</v>
      </c>
      <c r="O465" s="4">
        <v>0.050346586819435504</v>
      </c>
      <c r="P465" s="4">
        <v>0.03290374347537418</v>
      </c>
      <c r="Q465" s="4">
        <v>0.0018838103725436572</v>
      </c>
      <c r="R465" s="4">
        <v>0</v>
      </c>
      <c r="S465" s="4">
        <v>0</v>
      </c>
      <c r="T465" s="4">
        <v>0</v>
      </c>
      <c r="U465" s="4">
        <v>0</v>
      </c>
      <c r="V465" s="17">
        <v>0.0005842501565311202</v>
      </c>
      <c r="W465" s="17">
        <v>0.08571839082388447</v>
      </c>
      <c r="X465" s="51">
        <v>20.74385057938004</v>
      </c>
      <c r="Y465" s="18"/>
      <c r="Z465" s="19">
        <v>0</v>
      </c>
      <c r="AA465" s="4">
        <v>0</v>
      </c>
      <c r="AB465" s="19">
        <v>0</v>
      </c>
      <c r="AC465" s="4">
        <v>0</v>
      </c>
      <c r="AD465" s="4">
        <v>0</v>
      </c>
      <c r="AE465" s="4">
        <v>0</v>
      </c>
      <c r="AF465" s="4">
        <v>0</v>
      </c>
      <c r="AG465" s="4">
        <v>0</v>
      </c>
      <c r="AH465" s="19">
        <v>0.003306652604320686</v>
      </c>
      <c r="AI465" s="17">
        <v>0.01706353853707809</v>
      </c>
      <c r="AJ465" s="4">
        <v>3.85236865721952E-05</v>
      </c>
      <c r="AK465" s="4">
        <v>0</v>
      </c>
      <c r="AL465" s="4">
        <v>0</v>
      </c>
      <c r="AM465" s="4">
        <v>0</v>
      </c>
      <c r="AN465" s="4">
        <v>0</v>
      </c>
      <c r="AO465" s="4">
        <v>4.3839249374334155E-06</v>
      </c>
      <c r="AP465" s="6">
        <v>0.020413098752908403</v>
      </c>
      <c r="AQ465">
        <v>0.0031629868057939715</v>
      </c>
      <c r="AR465">
        <v>0</v>
      </c>
      <c r="AS465">
        <v>0.0656125256839407</v>
      </c>
      <c r="AT465">
        <v>0</v>
      </c>
      <c r="AU465">
        <v>0</v>
      </c>
      <c r="AV465">
        <v>0.0031629868057939715</v>
      </c>
      <c r="AW465">
        <v>1</v>
      </c>
      <c r="BD465">
        <v>1</v>
      </c>
      <c r="BE465">
        <v>0</v>
      </c>
      <c r="BF465">
        <v>0</v>
      </c>
      <c r="BG465">
        <v>1</v>
      </c>
      <c r="BH465">
        <v>5</v>
      </c>
      <c r="BI465" s="51">
        <v>5.070002343516509</v>
      </c>
    </row>
    <row r="466" spans="2:61" ht="12.75">
      <c r="B466" s="3" t="s">
        <v>16</v>
      </c>
      <c r="C466">
        <v>44</v>
      </c>
      <c r="G466" s="19">
        <v>0</v>
      </c>
      <c r="H466" s="4">
        <v>0</v>
      </c>
      <c r="I466" s="4">
        <v>0</v>
      </c>
      <c r="J466" s="4">
        <v>0</v>
      </c>
      <c r="K466" s="4">
        <v>0</v>
      </c>
      <c r="L466" s="4">
        <v>0</v>
      </c>
      <c r="M466" s="4">
        <v>0</v>
      </c>
      <c r="N466" s="27">
        <v>0</v>
      </c>
      <c r="O466" s="4">
        <v>0.12377912357004764</v>
      </c>
      <c r="P466" s="4">
        <v>0.0012975143827337011</v>
      </c>
      <c r="Q466" s="4">
        <v>0.04777165793247865</v>
      </c>
      <c r="R466" s="4">
        <v>0</v>
      </c>
      <c r="S466" s="4">
        <v>0</v>
      </c>
      <c r="T466" s="4">
        <v>0</v>
      </c>
      <c r="U466" s="4">
        <v>0</v>
      </c>
      <c r="V466" s="17">
        <v>0.00023764105272095114</v>
      </c>
      <c r="W466" s="17">
        <v>0.17308593693798094</v>
      </c>
      <c r="X466" s="51">
        <v>41.886796738991386</v>
      </c>
      <c r="Y466" s="18"/>
      <c r="Z466" s="19">
        <v>0</v>
      </c>
      <c r="AA466" s="4">
        <v>0</v>
      </c>
      <c r="AB466" s="19">
        <v>0</v>
      </c>
      <c r="AC466" s="4">
        <v>0</v>
      </c>
      <c r="AD466" s="4">
        <v>0</v>
      </c>
      <c r="AE466" s="4">
        <v>0</v>
      </c>
      <c r="AF466" s="4">
        <v>0</v>
      </c>
      <c r="AG466" s="4">
        <v>0</v>
      </c>
      <c r="AH466" s="19">
        <v>0.01998680200184805</v>
      </c>
      <c r="AI466" s="17">
        <v>2.6534006889374437E-05</v>
      </c>
      <c r="AJ466" s="4">
        <v>0.024773884063405704</v>
      </c>
      <c r="AK466" s="4">
        <v>0</v>
      </c>
      <c r="AL466" s="4">
        <v>0</v>
      </c>
      <c r="AM466" s="4">
        <v>0</v>
      </c>
      <c r="AN466" s="4">
        <v>0</v>
      </c>
      <c r="AO466" s="4">
        <v>7.252844557208418E-07</v>
      </c>
      <c r="AP466" s="6">
        <v>0.04478794535659885</v>
      </c>
      <c r="AQ466">
        <v>0.10661182926362325</v>
      </c>
      <c r="AR466">
        <v>0</v>
      </c>
      <c r="AS466">
        <v>4.465628022337441</v>
      </c>
      <c r="AT466">
        <v>0</v>
      </c>
      <c r="AU466">
        <v>0</v>
      </c>
      <c r="AV466">
        <v>0.10661182926362325</v>
      </c>
      <c r="AW466">
        <v>1</v>
      </c>
      <c r="BD466">
        <v>1</v>
      </c>
      <c r="BE466">
        <v>0</v>
      </c>
      <c r="BF466">
        <v>1</v>
      </c>
      <c r="BG466">
        <v>0</v>
      </c>
      <c r="BH466">
        <v>3</v>
      </c>
      <c r="BI466" s="51">
        <v>0.988816052957363</v>
      </c>
    </row>
    <row r="467" spans="2:61" ht="12.75">
      <c r="B467" s="3" t="s">
        <v>17</v>
      </c>
      <c r="C467">
        <v>8</v>
      </c>
      <c r="G467" s="19">
        <v>0</v>
      </c>
      <c r="H467" s="4">
        <v>0</v>
      </c>
      <c r="I467" s="4">
        <v>0</v>
      </c>
      <c r="J467" s="4">
        <v>0</v>
      </c>
      <c r="K467" s="4">
        <v>0</v>
      </c>
      <c r="L467" s="4">
        <v>0</v>
      </c>
      <c r="M467" s="4">
        <v>0</v>
      </c>
      <c r="N467" s="27">
        <v>0</v>
      </c>
      <c r="O467" s="4">
        <v>0.01567624900783269</v>
      </c>
      <c r="P467" s="4">
        <v>0.010245128986791543</v>
      </c>
      <c r="Q467" s="4">
        <v>0.006050134979690202</v>
      </c>
      <c r="R467" s="4">
        <v>0</v>
      </c>
      <c r="S467" s="4">
        <v>0</v>
      </c>
      <c r="T467" s="4">
        <v>0</v>
      </c>
      <c r="U467" s="4">
        <v>0</v>
      </c>
      <c r="V467" s="17">
        <v>0.0018764055875461992</v>
      </c>
      <c r="W467" s="17">
        <v>0.03384791856186063</v>
      </c>
      <c r="X467" s="51">
        <v>8.191196291970273</v>
      </c>
      <c r="Y467" s="18"/>
      <c r="Z467" s="19">
        <v>0</v>
      </c>
      <c r="AA467" s="4">
        <v>0</v>
      </c>
      <c r="AB467" s="19">
        <v>0</v>
      </c>
      <c r="AC467" s="4">
        <v>0</v>
      </c>
      <c r="AD467" s="4">
        <v>0</v>
      </c>
      <c r="AE467" s="4">
        <v>0</v>
      </c>
      <c r="AF467" s="4">
        <v>0</v>
      </c>
      <c r="AG467" s="4">
        <v>0</v>
      </c>
      <c r="AH467" s="19">
        <v>0.00032057733209632646</v>
      </c>
      <c r="AI467" s="17">
        <v>0.0016542964486779322</v>
      </c>
      <c r="AJ467" s="4">
        <v>0.0003973595004331338</v>
      </c>
      <c r="AK467" s="4">
        <v>0</v>
      </c>
      <c r="AL467" s="4">
        <v>0</v>
      </c>
      <c r="AM467" s="4">
        <v>0</v>
      </c>
      <c r="AN467" s="4">
        <v>0</v>
      </c>
      <c r="AO467" s="4">
        <v>4.521878298979304E-05</v>
      </c>
      <c r="AP467" s="6">
        <v>0.0024174520641971854</v>
      </c>
      <c r="AQ467">
        <v>0.004462842881572433</v>
      </c>
      <c r="AR467">
        <v>0</v>
      </c>
      <c r="AS467">
        <v>0.03655602206318204</v>
      </c>
      <c r="AT467">
        <v>0</v>
      </c>
      <c r="AU467">
        <v>0</v>
      </c>
      <c r="AV467">
        <v>0.004462842881572433</v>
      </c>
      <c r="AW467">
        <v>1</v>
      </c>
      <c r="BD467">
        <v>1</v>
      </c>
      <c r="BE467">
        <v>0</v>
      </c>
      <c r="BF467">
        <v>1</v>
      </c>
      <c r="BG467">
        <v>1</v>
      </c>
      <c r="BH467">
        <v>1</v>
      </c>
      <c r="BI467" s="51">
        <v>3.99999376256081</v>
      </c>
    </row>
    <row r="468" spans="2:61" ht="12.75">
      <c r="B468" s="3" t="s">
        <v>18</v>
      </c>
      <c r="C468">
        <v>5</v>
      </c>
      <c r="G468" s="19">
        <v>0</v>
      </c>
      <c r="H468" s="4">
        <v>0</v>
      </c>
      <c r="I468" s="4">
        <v>0</v>
      </c>
      <c r="J468" s="4">
        <v>0</v>
      </c>
      <c r="K468" s="4">
        <v>0</v>
      </c>
      <c r="L468" s="4">
        <v>0</v>
      </c>
      <c r="M468" s="4">
        <v>0</v>
      </c>
      <c r="N468" s="27">
        <v>0</v>
      </c>
      <c r="O468" s="4">
        <v>0.018473264502521996</v>
      </c>
      <c r="P468" s="4">
        <v>0.00019364595334609696</v>
      </c>
      <c r="Q468" s="4">
        <v>0.0006912112515075093</v>
      </c>
      <c r="R468" s="4">
        <v>0</v>
      </c>
      <c r="S468" s="4">
        <v>0</v>
      </c>
      <c r="T468" s="4">
        <v>0</v>
      </c>
      <c r="U468" s="4">
        <v>0</v>
      </c>
      <c r="V468" s="17">
        <v>0.00159230119971741</v>
      </c>
      <c r="W468" s="17">
        <v>0.02095042290709301</v>
      </c>
      <c r="X468" s="51">
        <v>5.070002343516509</v>
      </c>
      <c r="Y468" s="18"/>
      <c r="Z468" s="19">
        <v>0</v>
      </c>
      <c r="AA468" s="4">
        <v>0</v>
      </c>
      <c r="AB468" s="19">
        <v>0</v>
      </c>
      <c r="AC468" s="4">
        <v>0</v>
      </c>
      <c r="AD468" s="4">
        <v>0</v>
      </c>
      <c r="AE468" s="4">
        <v>0</v>
      </c>
      <c r="AF468" s="4">
        <v>0</v>
      </c>
      <c r="AG468" s="4">
        <v>0</v>
      </c>
      <c r="AH468" s="19">
        <v>0.00044518015944781556</v>
      </c>
      <c r="AI468" s="17">
        <v>5.910106787823748E-07</v>
      </c>
      <c r="AJ468" s="4">
        <v>5.186508225363094E-06</v>
      </c>
      <c r="AK468" s="4">
        <v>0</v>
      </c>
      <c r="AL468" s="4">
        <v>0</v>
      </c>
      <c r="AM468" s="4">
        <v>0</v>
      </c>
      <c r="AN468" s="4">
        <v>0</v>
      </c>
      <c r="AO468" s="4">
        <v>3.2562360437381186E-05</v>
      </c>
      <c r="AP468" s="6">
        <v>0.00048352003878934227</v>
      </c>
      <c r="AQ468">
        <v>0.0009665336948157156</v>
      </c>
      <c r="AR468">
        <v>0</v>
      </c>
      <c r="AS468">
        <v>0.0049003280978033486</v>
      </c>
      <c r="AT468">
        <v>0</v>
      </c>
      <c r="AU468">
        <v>0</v>
      </c>
      <c r="AV468">
        <v>0.0009665336948157156</v>
      </c>
      <c r="AW468">
        <v>1</v>
      </c>
      <c r="BD468">
        <v>1</v>
      </c>
      <c r="BE468">
        <v>1</v>
      </c>
      <c r="BF468">
        <v>0</v>
      </c>
      <c r="BG468">
        <v>0</v>
      </c>
      <c r="BH468">
        <v>3</v>
      </c>
      <c r="BI468" s="51">
        <v>0.7864447023583383</v>
      </c>
    </row>
    <row r="469" spans="2:61" ht="12.75">
      <c r="B469" s="16" t="s">
        <v>19</v>
      </c>
      <c r="C469">
        <v>1</v>
      </c>
      <c r="G469" s="19">
        <v>0</v>
      </c>
      <c r="H469" s="4">
        <v>0</v>
      </c>
      <c r="I469" s="4">
        <v>0</v>
      </c>
      <c r="J469" s="4">
        <v>0</v>
      </c>
      <c r="K469" s="4">
        <v>0</v>
      </c>
      <c r="L469" s="4">
        <v>0</v>
      </c>
      <c r="M469" s="4">
        <v>0</v>
      </c>
      <c r="N469" s="27">
        <v>0</v>
      </c>
      <c r="O469" s="4">
        <v>0.002339582685485804</v>
      </c>
      <c r="P469" s="4">
        <v>0.0015290217944413786</v>
      </c>
      <c r="Q469" s="4">
        <v>8.75397997911613E-05</v>
      </c>
      <c r="R469" s="4">
        <v>0</v>
      </c>
      <c r="S469" s="4">
        <v>0</v>
      </c>
      <c r="T469" s="4">
        <v>0</v>
      </c>
      <c r="U469" s="4">
        <v>0</v>
      </c>
      <c r="V469" s="17">
        <v>0.012572755565574259</v>
      </c>
      <c r="W469" s="17">
        <v>0.016528899845292603</v>
      </c>
      <c r="X469" s="51">
        <v>3.99999376256081</v>
      </c>
      <c r="Y469" s="18"/>
      <c r="Z469" s="19">
        <v>0</v>
      </c>
      <c r="AA469" s="4">
        <v>0</v>
      </c>
      <c r="AB469" s="19">
        <v>0</v>
      </c>
      <c r="AC469" s="4">
        <v>0</v>
      </c>
      <c r="AD469" s="4">
        <v>0</v>
      </c>
      <c r="AE469" s="4">
        <v>0</v>
      </c>
      <c r="AF469" s="4">
        <v>0</v>
      </c>
      <c r="AG469" s="4">
        <v>0</v>
      </c>
      <c r="AH469" s="19">
        <v>7.1404453701398565E-06</v>
      </c>
      <c r="AI469" s="17">
        <v>3.684731337851354E-05</v>
      </c>
      <c r="AJ469" s="4">
        <v>8.318874473409083E-08</v>
      </c>
      <c r="AK469" s="4">
        <v>0</v>
      </c>
      <c r="AL469" s="4">
        <v>0</v>
      </c>
      <c r="AM469" s="4">
        <v>0</v>
      </c>
      <c r="AN469" s="4">
        <v>0</v>
      </c>
      <c r="AO469" s="4">
        <v>0.002030141827305468</v>
      </c>
      <c r="AP469" s="6">
        <v>0.0020742127747988555</v>
      </c>
      <c r="AQ469">
        <v>2.249994152401367</v>
      </c>
      <c r="AR469">
        <v>1</v>
      </c>
      <c r="AS469">
        <v>8.999962575403766</v>
      </c>
      <c r="AT469">
        <v>3.99999376256081</v>
      </c>
      <c r="AU469">
        <v>1</v>
      </c>
      <c r="AV469">
        <v>0</v>
      </c>
      <c r="AW469">
        <v>0</v>
      </c>
      <c r="BD469">
        <v>1</v>
      </c>
      <c r="BE469">
        <v>1</v>
      </c>
      <c r="BF469">
        <v>0</v>
      </c>
      <c r="BG469">
        <v>1</v>
      </c>
      <c r="BH469">
        <v>2</v>
      </c>
      <c r="BI469" s="51">
        <v>3.1813539986774364</v>
      </c>
    </row>
    <row r="470" spans="2:61" ht="12.75">
      <c r="B470" s="16" t="s">
        <v>20</v>
      </c>
      <c r="C470">
        <v>2</v>
      </c>
      <c r="G470" s="19">
        <v>0</v>
      </c>
      <c r="H470" s="4">
        <v>0</v>
      </c>
      <c r="I470" s="4">
        <v>0</v>
      </c>
      <c r="J470" s="4">
        <v>0</v>
      </c>
      <c r="K470" s="4">
        <v>0</v>
      </c>
      <c r="L470" s="4">
        <v>0</v>
      </c>
      <c r="M470" s="4">
        <v>0</v>
      </c>
      <c r="N470" s="27">
        <v>0</v>
      </c>
      <c r="O470" s="4">
        <v>0.005751958824293113</v>
      </c>
      <c r="P470" s="4">
        <v>6.029489536003078E-05</v>
      </c>
      <c r="Q470" s="4">
        <v>0.002219926926856385</v>
      </c>
      <c r="R470" s="4">
        <v>0</v>
      </c>
      <c r="S470" s="4">
        <v>0</v>
      </c>
      <c r="T470" s="4">
        <v>0</v>
      </c>
      <c r="U470" s="4">
        <v>0</v>
      </c>
      <c r="V470" s="17">
        <v>0.005113910257116242</v>
      </c>
      <c r="W470" s="17">
        <v>0.01314609090362577</v>
      </c>
      <c r="X470" s="51">
        <v>3.1813539986774364</v>
      </c>
      <c r="Y470" s="18"/>
      <c r="Z470" s="19">
        <v>0</v>
      </c>
      <c r="AA470" s="4">
        <v>0</v>
      </c>
      <c r="AB470" s="19">
        <v>0</v>
      </c>
      <c r="AC470" s="4">
        <v>0</v>
      </c>
      <c r="AD470" s="4">
        <v>0</v>
      </c>
      <c r="AE470" s="4">
        <v>0</v>
      </c>
      <c r="AF470" s="4">
        <v>0</v>
      </c>
      <c r="AG470" s="4">
        <v>0</v>
      </c>
      <c r="AH470" s="19">
        <v>4.315986131458677E-05</v>
      </c>
      <c r="AI470" s="17">
        <v>5.729801382731467E-08</v>
      </c>
      <c r="AJ470" s="4">
        <v>5.349717279939911E-05</v>
      </c>
      <c r="AK470" s="4">
        <v>0</v>
      </c>
      <c r="AL470" s="4">
        <v>0</v>
      </c>
      <c r="AM470" s="4">
        <v>0</v>
      </c>
      <c r="AN470" s="4">
        <v>0</v>
      </c>
      <c r="AO470" s="4">
        <v>0.00033587032881895145</v>
      </c>
      <c r="AP470" s="6">
        <v>0.0004325846609467646</v>
      </c>
      <c r="AQ470">
        <v>0.43868028228589173</v>
      </c>
      <c r="AR470">
        <v>1</v>
      </c>
      <c r="AS470">
        <v>1.3955972701911683</v>
      </c>
      <c r="AT470">
        <v>3.1813539986774364</v>
      </c>
      <c r="AU470">
        <v>2</v>
      </c>
      <c r="AV470">
        <v>0</v>
      </c>
      <c r="AW470">
        <v>0</v>
      </c>
      <c r="BD470">
        <v>1</v>
      </c>
      <c r="BE470">
        <v>1</v>
      </c>
      <c r="BF470">
        <v>1</v>
      </c>
      <c r="BG470">
        <v>0</v>
      </c>
      <c r="BH470">
        <v>2</v>
      </c>
      <c r="BI470" s="51">
        <v>2.504507017461327</v>
      </c>
    </row>
    <row r="471" spans="2:61" ht="13.5" thickBot="1">
      <c r="B471" s="12" t="s">
        <v>21</v>
      </c>
      <c r="C471">
        <v>10</v>
      </c>
      <c r="G471" s="19">
        <v>0</v>
      </c>
      <c r="H471" s="4">
        <v>0</v>
      </c>
      <c r="I471" s="4">
        <v>0</v>
      </c>
      <c r="J471" s="4">
        <v>0</v>
      </c>
      <c r="K471" s="4">
        <v>0</v>
      </c>
      <c r="L471" s="4">
        <v>0</v>
      </c>
      <c r="M471" s="4">
        <v>0</v>
      </c>
      <c r="N471" s="27">
        <v>0</v>
      </c>
      <c r="O471" s="4">
        <v>0.0007284680664376486</v>
      </c>
      <c r="P471" s="4">
        <v>0.00047608642218449745</v>
      </c>
      <c r="Q471" s="4">
        <v>0.0002811469840865353</v>
      </c>
      <c r="R471" s="4">
        <v>0</v>
      </c>
      <c r="S471" s="4">
        <v>0</v>
      </c>
      <c r="T471" s="4">
        <v>0</v>
      </c>
      <c r="U471" s="4">
        <v>0</v>
      </c>
      <c r="V471" s="17">
        <v>0.04037925968932027</v>
      </c>
      <c r="W471" s="17">
        <v>0.04186496116202895</v>
      </c>
      <c r="X471" s="51">
        <v>10.131320601211007</v>
      </c>
      <c r="Y471" s="18"/>
      <c r="Z471" s="19">
        <v>0</v>
      </c>
      <c r="AA471" s="4">
        <v>0</v>
      </c>
      <c r="AB471" s="19">
        <v>0</v>
      </c>
      <c r="AC471" s="4">
        <v>0</v>
      </c>
      <c r="AD471" s="4">
        <v>0</v>
      </c>
      <c r="AE471" s="4">
        <v>0</v>
      </c>
      <c r="AF471" s="4">
        <v>0</v>
      </c>
      <c r="AG471" s="4">
        <v>0</v>
      </c>
      <c r="AH471" s="19">
        <v>6.922604823222015E-07</v>
      </c>
      <c r="AI471" s="17">
        <v>3.5723176369862044E-06</v>
      </c>
      <c r="AJ471" s="4">
        <v>8.580652837378274E-07</v>
      </c>
      <c r="AK471" s="4">
        <v>0</v>
      </c>
      <c r="AL471" s="4">
        <v>0</v>
      </c>
      <c r="AM471" s="4">
        <v>0</v>
      </c>
      <c r="AN471" s="4">
        <v>0</v>
      </c>
      <c r="AO471" s="4">
        <v>0.02094026335705758</v>
      </c>
      <c r="AP471" s="6">
        <v>0.020945386000460624</v>
      </c>
      <c r="AQ471">
        <v>0.0017021571995618195</v>
      </c>
      <c r="AR471">
        <v>0</v>
      </c>
      <c r="AS471">
        <v>0.017245100302420296</v>
      </c>
      <c r="AT471">
        <v>0</v>
      </c>
      <c r="AU471">
        <v>0</v>
      </c>
      <c r="AV471">
        <v>0.0017021571995618195</v>
      </c>
      <c r="AW471">
        <v>1</v>
      </c>
      <c r="BD471">
        <v>1</v>
      </c>
      <c r="BE471">
        <v>1</v>
      </c>
      <c r="BF471">
        <v>1</v>
      </c>
      <c r="BG471">
        <v>1</v>
      </c>
      <c r="BH471">
        <v>10</v>
      </c>
      <c r="BI471" s="51">
        <v>10.131320601211007</v>
      </c>
    </row>
    <row r="472" spans="3:50" ht="12.75">
      <c r="C472" s="2">
        <v>242</v>
      </c>
      <c r="D472" s="2">
        <v>0</v>
      </c>
      <c r="E472" s="2">
        <v>0</v>
      </c>
      <c r="F472" s="2">
        <v>0</v>
      </c>
      <c r="G472" s="33">
        <v>0</v>
      </c>
      <c r="H472" s="2">
        <v>0</v>
      </c>
      <c r="I472" s="2">
        <v>0</v>
      </c>
      <c r="J472" s="2">
        <v>0</v>
      </c>
      <c r="K472" s="2">
        <v>0</v>
      </c>
      <c r="L472" s="2">
        <v>0</v>
      </c>
      <c r="M472" s="2">
        <v>0</v>
      </c>
      <c r="N472" s="29">
        <v>0</v>
      </c>
      <c r="O472" s="2">
        <v>0.7665694306849322</v>
      </c>
      <c r="P472" s="2">
        <v>0.0634485240174937</v>
      </c>
      <c r="Q472" s="2">
        <v>0.09211842986658517</v>
      </c>
      <c r="R472" s="2">
        <v>0</v>
      </c>
      <c r="S472" s="2">
        <v>0</v>
      </c>
      <c r="T472" s="2">
        <v>0</v>
      </c>
      <c r="U472" s="2">
        <v>0</v>
      </c>
      <c r="V472" s="32">
        <v>0.07786361543098914</v>
      </c>
      <c r="W472" s="32">
        <v>1</v>
      </c>
      <c r="X472" s="32">
        <v>242</v>
      </c>
      <c r="Y472" s="32"/>
      <c r="Z472" s="33">
        <v>0</v>
      </c>
      <c r="AA472" s="2">
        <v>0</v>
      </c>
      <c r="AB472" s="2">
        <v>0</v>
      </c>
      <c r="AC472" s="2">
        <v>0</v>
      </c>
      <c r="AD472" s="2">
        <v>0</v>
      </c>
      <c r="AE472" s="2">
        <v>0</v>
      </c>
      <c r="AF472" s="2">
        <v>0</v>
      </c>
      <c r="AG472" s="2">
        <v>0</v>
      </c>
      <c r="AH472" s="2">
        <v>0.24433933290247417</v>
      </c>
      <c r="AI472" s="2">
        <v>0.02022383023835046</v>
      </c>
      <c r="AJ472" s="2">
        <v>0.029362187951473186</v>
      </c>
      <c r="AK472" s="2">
        <v>0</v>
      </c>
      <c r="AL472" s="2">
        <v>0</v>
      </c>
      <c r="AM472" s="2">
        <v>0</v>
      </c>
      <c r="AN472" s="2">
        <v>0</v>
      </c>
      <c r="AO472" s="2">
        <v>0.02481855274972765</v>
      </c>
      <c r="AP472" s="2">
        <v>0.31874390384202544</v>
      </c>
      <c r="AQ472" s="36">
        <v>17.15249715369952</v>
      </c>
      <c r="AR472" s="36">
        <v>7</v>
      </c>
      <c r="AT472">
        <v>14.739342169006498</v>
      </c>
      <c r="AU472">
        <v>15</v>
      </c>
      <c r="AV472" s="36">
        <v>0.8613809425481139</v>
      </c>
      <c r="AW472" s="36">
        <v>9</v>
      </c>
      <c r="AX472" t="s">
        <v>64</v>
      </c>
    </row>
    <row r="473" spans="13:48" ht="12.75">
      <c r="M473" s="15"/>
      <c r="N473" s="15"/>
      <c r="AQ473" t="s">
        <v>38</v>
      </c>
      <c r="AU473" s="36">
        <v>0.004609602252202586</v>
      </c>
      <c r="AV473" s="41">
        <v>0.8659905448003166</v>
      </c>
    </row>
    <row r="474" spans="5:47" ht="12.75">
      <c r="E474" t="s">
        <v>106</v>
      </c>
      <c r="F474">
        <v>0</v>
      </c>
      <c r="M474" s="15"/>
      <c r="N474" s="15"/>
      <c r="AP474" t="s">
        <v>106</v>
      </c>
      <c r="AU474" t="s">
        <v>61</v>
      </c>
    </row>
    <row r="477" ht="12.75">
      <c r="E477" t="s">
        <v>49</v>
      </c>
    </row>
    <row r="478" spans="2:3" ht="12.75">
      <c r="B478" t="s">
        <v>98</v>
      </c>
      <c r="C478" s="48">
        <v>0.03792875656560904</v>
      </c>
    </row>
    <row r="479" spans="2:26" ht="12.75">
      <c r="B479" t="s">
        <v>99</v>
      </c>
      <c r="C479" s="48">
        <v>0.5</v>
      </c>
      <c r="Z479" s="21" t="s">
        <v>34</v>
      </c>
    </row>
    <row r="480" spans="2:3" ht="12.75">
      <c r="B480" t="s">
        <v>100</v>
      </c>
      <c r="C480" s="48">
        <v>0.1724710842846529</v>
      </c>
    </row>
    <row r="481" spans="2:42" ht="12.75">
      <c r="B481" t="s">
        <v>5</v>
      </c>
      <c r="C481" s="48">
        <v>0.21073876047354387</v>
      </c>
      <c r="G481" s="21" t="s">
        <v>107</v>
      </c>
      <c r="O481" s="42"/>
      <c r="Z481" s="21" t="s">
        <v>101</v>
      </c>
      <c r="AP481" t="s">
        <v>108</v>
      </c>
    </row>
    <row r="482" spans="23:43" ht="12.75">
      <c r="W482" s="30" t="s">
        <v>22</v>
      </c>
      <c r="X482" s="15" t="s">
        <v>2</v>
      </c>
      <c r="AP482" t="s">
        <v>22</v>
      </c>
      <c r="AQ482" t="s">
        <v>37</v>
      </c>
    </row>
    <row r="483" spans="5:52" ht="12.75">
      <c r="E483" s="2"/>
      <c r="F483" s="2"/>
      <c r="G483" s="8">
        <v>0</v>
      </c>
      <c r="H483" s="5">
        <v>0</v>
      </c>
      <c r="I483" s="5">
        <v>0</v>
      </c>
      <c r="J483" s="5">
        <v>0</v>
      </c>
      <c r="K483" s="5">
        <v>0</v>
      </c>
      <c r="L483" s="5">
        <v>0</v>
      </c>
      <c r="M483" s="5">
        <v>0</v>
      </c>
      <c r="N483" s="5">
        <v>0</v>
      </c>
      <c r="O483" s="38">
        <v>0</v>
      </c>
      <c r="P483" s="38">
        <v>0.0039008966797565814</v>
      </c>
      <c r="Q483" s="38">
        <v>0.9173561828497149</v>
      </c>
      <c r="R483" s="8">
        <v>0</v>
      </c>
      <c r="S483" s="5">
        <v>0</v>
      </c>
      <c r="T483" s="5">
        <v>0</v>
      </c>
      <c r="U483" s="5">
        <v>0</v>
      </c>
      <c r="V483" s="38">
        <v>0.07874292047052897</v>
      </c>
      <c r="W483" s="17">
        <v>1</v>
      </c>
      <c r="X483" s="15" t="s">
        <v>97</v>
      </c>
      <c r="Z483" s="34">
        <v>0</v>
      </c>
      <c r="AA483" s="8">
        <v>0</v>
      </c>
      <c r="AB483" s="8">
        <v>0</v>
      </c>
      <c r="AC483" s="8">
        <v>0</v>
      </c>
      <c r="AD483" s="8">
        <v>0</v>
      </c>
      <c r="AE483" s="8">
        <v>0</v>
      </c>
      <c r="AF483" s="8">
        <v>0</v>
      </c>
      <c r="AG483" s="8">
        <v>0</v>
      </c>
      <c r="AH483" s="34">
        <v>0</v>
      </c>
      <c r="AI483" s="35">
        <v>0.0039008966797565814</v>
      </c>
      <c r="AJ483" s="8">
        <v>0.9173561828497149</v>
      </c>
      <c r="AK483" s="8">
        <v>0</v>
      </c>
      <c r="AL483" s="8">
        <v>0</v>
      </c>
      <c r="AM483" s="8">
        <v>0</v>
      </c>
      <c r="AN483" s="8">
        <v>0</v>
      </c>
      <c r="AO483" s="8">
        <v>0.07874292047052897</v>
      </c>
      <c r="AP483" s="6">
        <v>1</v>
      </c>
      <c r="AX483" s="53" t="s">
        <v>90</v>
      </c>
      <c r="AY483" s="53" t="s">
        <v>91</v>
      </c>
      <c r="AZ483" s="53"/>
    </row>
    <row r="484" spans="2:52" ht="12.75">
      <c r="B484" t="s">
        <v>1</v>
      </c>
      <c r="C484" t="s">
        <v>102</v>
      </c>
      <c r="D484" t="s">
        <v>103</v>
      </c>
      <c r="E484" t="s">
        <v>104</v>
      </c>
      <c r="F484" t="s">
        <v>105</v>
      </c>
      <c r="G484" s="23" t="s">
        <v>6</v>
      </c>
      <c r="H484" s="7" t="s">
        <v>8</v>
      </c>
      <c r="I484" s="7" t="s">
        <v>9</v>
      </c>
      <c r="J484" s="7" t="s">
        <v>10</v>
      </c>
      <c r="K484" s="7" t="s">
        <v>11</v>
      </c>
      <c r="L484" s="7" t="s">
        <v>12</v>
      </c>
      <c r="M484" s="7" t="s">
        <v>13</v>
      </c>
      <c r="N484" s="26" t="s">
        <v>14</v>
      </c>
      <c r="O484" s="7" t="s">
        <v>7</v>
      </c>
      <c r="P484" s="7" t="s">
        <v>15</v>
      </c>
      <c r="Q484" s="7" t="s">
        <v>16</v>
      </c>
      <c r="R484" s="7" t="s">
        <v>17</v>
      </c>
      <c r="S484" s="7" t="s">
        <v>18</v>
      </c>
      <c r="T484" s="7" t="s">
        <v>19</v>
      </c>
      <c r="U484" s="7" t="s">
        <v>20</v>
      </c>
      <c r="V484" s="31" t="s">
        <v>21</v>
      </c>
      <c r="W484" s="31"/>
      <c r="Z484" s="23" t="s">
        <v>6</v>
      </c>
      <c r="AA484" s="7" t="s">
        <v>8</v>
      </c>
      <c r="AB484" s="7" t="s">
        <v>9</v>
      </c>
      <c r="AC484" s="7" t="s">
        <v>10</v>
      </c>
      <c r="AD484" s="7" t="s">
        <v>11</v>
      </c>
      <c r="AE484" s="7" t="s">
        <v>12</v>
      </c>
      <c r="AF484" s="7" t="s">
        <v>13</v>
      </c>
      <c r="AG484" s="26" t="s">
        <v>14</v>
      </c>
      <c r="AH484" s="7" t="s">
        <v>7</v>
      </c>
      <c r="AI484" s="7" t="s">
        <v>15</v>
      </c>
      <c r="AJ484" s="7" t="s">
        <v>16</v>
      </c>
      <c r="AK484" s="7" t="s">
        <v>17</v>
      </c>
      <c r="AL484" s="7" t="s">
        <v>18</v>
      </c>
      <c r="AM484" s="7" t="s">
        <v>19</v>
      </c>
      <c r="AN484" s="7" t="s">
        <v>20</v>
      </c>
      <c r="AO484" s="31" t="s">
        <v>21</v>
      </c>
      <c r="AP484" s="6"/>
      <c r="AR484" t="s">
        <v>65</v>
      </c>
      <c r="AS484" t="s">
        <v>59</v>
      </c>
      <c r="AT484" t="s">
        <v>60</v>
      </c>
      <c r="AU484" t="s">
        <v>62</v>
      </c>
      <c r="AW484" t="s">
        <v>63</v>
      </c>
      <c r="AX484" s="53"/>
      <c r="AY484" s="53"/>
      <c r="AZ484" s="53"/>
    </row>
    <row r="485" spans="2:52" ht="12.75">
      <c r="B485" s="16" t="s">
        <v>6</v>
      </c>
      <c r="C485">
        <v>27</v>
      </c>
      <c r="G485" s="19">
        <v>0</v>
      </c>
      <c r="H485" s="4">
        <v>0</v>
      </c>
      <c r="I485" s="4">
        <v>0</v>
      </c>
      <c r="J485" s="4">
        <v>0</v>
      </c>
      <c r="K485" s="4">
        <v>0</v>
      </c>
      <c r="L485" s="4">
        <v>0</v>
      </c>
      <c r="M485" s="4">
        <v>0</v>
      </c>
      <c r="N485" s="27">
        <v>0</v>
      </c>
      <c r="O485" s="4">
        <v>0</v>
      </c>
      <c r="P485" s="4">
        <v>6.820283078345215E-05</v>
      </c>
      <c r="Q485" s="4">
        <v>0.07695606089285013</v>
      </c>
      <c r="R485" s="4">
        <v>0</v>
      </c>
      <c r="S485" s="4">
        <v>0</v>
      </c>
      <c r="T485" s="4">
        <v>0</v>
      </c>
      <c r="U485" s="4">
        <v>0</v>
      </c>
      <c r="V485" s="17">
        <v>5.4276376044181505E-05</v>
      </c>
      <c r="W485" s="17">
        <v>0.07707854009967777</v>
      </c>
      <c r="X485" s="18">
        <v>18.65300670412202</v>
      </c>
      <c r="Y485" s="18"/>
      <c r="Z485" s="19">
        <v>0</v>
      </c>
      <c r="AA485" s="4">
        <v>0</v>
      </c>
      <c r="AB485" s="4">
        <v>0</v>
      </c>
      <c r="AC485" s="4">
        <v>0</v>
      </c>
      <c r="AD485" s="4">
        <v>0</v>
      </c>
      <c r="AE485" s="4">
        <v>0</v>
      </c>
      <c r="AF485" s="4">
        <v>0</v>
      </c>
      <c r="AG485" s="4">
        <v>0</v>
      </c>
      <c r="AH485" s="19">
        <v>0</v>
      </c>
      <c r="AI485" s="17">
        <v>1.1924504822225829E-06</v>
      </c>
      <c r="AJ485" s="4">
        <v>0.006455764313646385</v>
      </c>
      <c r="AK485" s="4">
        <v>0</v>
      </c>
      <c r="AL485" s="4">
        <v>0</v>
      </c>
      <c r="AM485" s="4">
        <v>0</v>
      </c>
      <c r="AN485" s="4">
        <v>0</v>
      </c>
      <c r="AO485" s="4">
        <v>3.7411934671536194E-08</v>
      </c>
      <c r="AP485" s="6">
        <v>0.006456994176063279</v>
      </c>
      <c r="AQ485">
        <v>3.7351778287859325</v>
      </c>
      <c r="AR485">
        <v>0</v>
      </c>
      <c r="AS485">
        <v>69.67229708143194</v>
      </c>
      <c r="AT485">
        <v>0</v>
      </c>
      <c r="AU485">
        <v>0</v>
      </c>
      <c r="AV485">
        <v>3.7351778287859325</v>
      </c>
      <c r="AW485">
        <v>1</v>
      </c>
      <c r="AX485" s="53">
        <f>100*(C489+C490+C491+C492+C497+C498+C499+C500)/C501</f>
        <v>10.743801652892563</v>
      </c>
      <c r="AY485" s="53">
        <f>100*(X489+X490+X491+X492+X497+X498+X499+X500)/X501</f>
        <v>11.069843491255442</v>
      </c>
      <c r="AZ485" s="53" t="s">
        <v>93</v>
      </c>
    </row>
    <row r="486" spans="2:52" ht="12.75">
      <c r="B486" s="16" t="s">
        <v>8</v>
      </c>
      <c r="C486">
        <v>5</v>
      </c>
      <c r="G486" s="19">
        <v>0</v>
      </c>
      <c r="H486" s="4">
        <v>0</v>
      </c>
      <c r="I486" s="4">
        <v>0</v>
      </c>
      <c r="J486" s="4">
        <v>0</v>
      </c>
      <c r="K486" s="4">
        <v>0</v>
      </c>
      <c r="L486" s="4">
        <v>0</v>
      </c>
      <c r="M486" s="4">
        <v>0</v>
      </c>
      <c r="N486" s="27">
        <v>0</v>
      </c>
      <c r="O486" s="4">
        <v>0</v>
      </c>
      <c r="P486" s="4">
        <v>0.00032724218579038454</v>
      </c>
      <c r="Q486" s="4">
        <v>0.016038950437148435</v>
      </c>
      <c r="R486" s="4">
        <v>0</v>
      </c>
      <c r="S486" s="4">
        <v>0</v>
      </c>
      <c r="T486" s="4">
        <v>0</v>
      </c>
      <c r="U486" s="4">
        <v>0</v>
      </c>
      <c r="V486" s="17">
        <v>0.00026042203423891087</v>
      </c>
      <c r="W486" s="17">
        <v>0.01662661465717773</v>
      </c>
      <c r="X486" s="18">
        <v>4.02364074703701</v>
      </c>
      <c r="Y486" s="18"/>
      <c r="Z486" s="19">
        <v>0</v>
      </c>
      <c r="AA486" s="4">
        <v>0</v>
      </c>
      <c r="AB486" s="4">
        <v>0</v>
      </c>
      <c r="AC486" s="4">
        <v>0</v>
      </c>
      <c r="AD486" s="4">
        <v>0</v>
      </c>
      <c r="AE486" s="4">
        <v>0</v>
      </c>
      <c r="AF486" s="4">
        <v>0</v>
      </c>
      <c r="AG486" s="4">
        <v>0</v>
      </c>
      <c r="AH486" s="19">
        <v>0</v>
      </c>
      <c r="AI486" s="17">
        <v>2.7452008333517535E-05</v>
      </c>
      <c r="AJ486" s="4">
        <v>0.0002804231725197271</v>
      </c>
      <c r="AK486" s="4">
        <v>0</v>
      </c>
      <c r="AL486" s="4">
        <v>0</v>
      </c>
      <c r="AM486" s="4">
        <v>0</v>
      </c>
      <c r="AN486" s="4">
        <v>0</v>
      </c>
      <c r="AO486" s="4">
        <v>8.612791538829862E-07</v>
      </c>
      <c r="AP486" s="6">
        <v>0.00030873646000712765</v>
      </c>
      <c r="AQ486">
        <v>0.23691911151571773</v>
      </c>
      <c r="AR486">
        <v>0</v>
      </c>
      <c r="AS486">
        <v>0.9532773908464472</v>
      </c>
      <c r="AT486">
        <v>0</v>
      </c>
      <c r="AU486">
        <v>0</v>
      </c>
      <c r="AV486">
        <v>0.23691911151571773</v>
      </c>
      <c r="AW486">
        <v>1</v>
      </c>
      <c r="AX486" s="53">
        <f>100*(C487+C488+C491+C492+C495+C496+C499+C500)/C501</f>
        <v>33.47107438016529</v>
      </c>
      <c r="AY486" s="53">
        <f>100*(X487+X488+X491+X492+X495+X496+X499+X500)/X501</f>
        <v>50.000000000000036</v>
      </c>
      <c r="AZ486" s="53" t="s">
        <v>94</v>
      </c>
    </row>
    <row r="487" spans="2:52" ht="12.75">
      <c r="B487" s="16" t="s">
        <v>9</v>
      </c>
      <c r="C487">
        <v>8</v>
      </c>
      <c r="G487" s="19">
        <v>0</v>
      </c>
      <c r="H487" s="4">
        <v>0</v>
      </c>
      <c r="I487" s="4">
        <v>0</v>
      </c>
      <c r="J487" s="4">
        <v>0</v>
      </c>
      <c r="K487" s="4">
        <v>0</v>
      </c>
      <c r="L487" s="4">
        <v>0</v>
      </c>
      <c r="M487" s="4">
        <v>0</v>
      </c>
      <c r="N487" s="27">
        <v>0</v>
      </c>
      <c r="O487" s="4">
        <v>0</v>
      </c>
      <c r="P487" s="4">
        <v>6.820283078345215E-05</v>
      </c>
      <c r="Q487" s="4">
        <v>0.07695606089285013</v>
      </c>
      <c r="R487" s="4">
        <v>0</v>
      </c>
      <c r="S487" s="4">
        <v>0</v>
      </c>
      <c r="T487" s="4">
        <v>0</v>
      </c>
      <c r="U487" s="4">
        <v>0</v>
      </c>
      <c r="V487" s="17">
        <v>5.4276376044181505E-05</v>
      </c>
      <c r="W487" s="17">
        <v>0.07707854009967777</v>
      </c>
      <c r="X487" s="18">
        <v>18.65300670412202</v>
      </c>
      <c r="Y487" s="18"/>
      <c r="Z487" s="19">
        <v>0</v>
      </c>
      <c r="AA487" s="4">
        <v>0</v>
      </c>
      <c r="AB487" s="4">
        <v>0</v>
      </c>
      <c r="AC487" s="4">
        <v>0</v>
      </c>
      <c r="AD487" s="4">
        <v>0</v>
      </c>
      <c r="AE487" s="4">
        <v>0</v>
      </c>
      <c r="AF487" s="4">
        <v>0</v>
      </c>
      <c r="AG487" s="4">
        <v>0</v>
      </c>
      <c r="AH487" s="19">
        <v>0</v>
      </c>
      <c r="AI487" s="17">
        <v>1.1924504822225829E-06</v>
      </c>
      <c r="AJ487" s="4">
        <v>0.006455764313646385</v>
      </c>
      <c r="AK487" s="4">
        <v>0</v>
      </c>
      <c r="AL487" s="4">
        <v>0</v>
      </c>
      <c r="AM487" s="4">
        <v>0</v>
      </c>
      <c r="AN487" s="4">
        <v>0</v>
      </c>
      <c r="AO487" s="4">
        <v>3.7411934671536194E-08</v>
      </c>
      <c r="AP487" s="6">
        <v>0.006456994176063279</v>
      </c>
      <c r="AQ487">
        <v>6.084088942775643</v>
      </c>
      <c r="AR487">
        <v>0</v>
      </c>
      <c r="AS487">
        <v>113.48655183806872</v>
      </c>
      <c r="AT487">
        <v>0</v>
      </c>
      <c r="AU487">
        <v>0</v>
      </c>
      <c r="AV487">
        <v>6.084088942775643</v>
      </c>
      <c r="AW487">
        <v>1</v>
      </c>
      <c r="AX487" s="53">
        <f>100*(C486+C488+C490+C492+C494+C496+C498+C500)/C501</f>
        <v>22.31404958677686</v>
      </c>
      <c r="AY487" s="53">
        <f>100*(X486+X488+X490+X492+X494+X496+X498+X500)/X501</f>
        <v>22.66075639282738</v>
      </c>
      <c r="AZ487" s="53" t="s">
        <v>95</v>
      </c>
    </row>
    <row r="488" spans="2:52" ht="12.75">
      <c r="B488" s="16" t="s">
        <v>10</v>
      </c>
      <c r="C488">
        <v>4</v>
      </c>
      <c r="G488" s="19">
        <v>0</v>
      </c>
      <c r="H488" s="4">
        <v>0</v>
      </c>
      <c r="I488" s="4">
        <v>0</v>
      </c>
      <c r="J488" s="4">
        <v>0</v>
      </c>
      <c r="K488" s="4">
        <v>0</v>
      </c>
      <c r="L488" s="4">
        <v>0</v>
      </c>
      <c r="M488" s="4">
        <v>0</v>
      </c>
      <c r="N488" s="27">
        <v>0</v>
      </c>
      <c r="O488" s="4">
        <v>0</v>
      </c>
      <c r="P488" s="4">
        <v>0.00032724218579038454</v>
      </c>
      <c r="Q488" s="4">
        <v>0.016038950437148435</v>
      </c>
      <c r="R488" s="4">
        <v>0</v>
      </c>
      <c r="S488" s="4">
        <v>0</v>
      </c>
      <c r="T488" s="4">
        <v>0</v>
      </c>
      <c r="U488" s="4">
        <v>0</v>
      </c>
      <c r="V488" s="17">
        <v>0.00026042203423891087</v>
      </c>
      <c r="W488" s="17">
        <v>0.01662661465717773</v>
      </c>
      <c r="X488" s="18">
        <v>4.02364074703701</v>
      </c>
      <c r="Y488" s="18"/>
      <c r="Z488" s="19">
        <v>0</v>
      </c>
      <c r="AA488" s="4">
        <v>0</v>
      </c>
      <c r="AB488" s="4">
        <v>0</v>
      </c>
      <c r="AC488" s="4">
        <v>0</v>
      </c>
      <c r="AD488" s="4">
        <v>0</v>
      </c>
      <c r="AE488" s="4">
        <v>0</v>
      </c>
      <c r="AF488" s="4">
        <v>0</v>
      </c>
      <c r="AG488" s="4">
        <v>0</v>
      </c>
      <c r="AH488" s="19">
        <v>0</v>
      </c>
      <c r="AI488" s="17">
        <v>2.7452008333517535E-05</v>
      </c>
      <c r="AJ488" s="4">
        <v>0.0002804231725197271</v>
      </c>
      <c r="AK488" s="4">
        <v>0</v>
      </c>
      <c r="AL488" s="4">
        <v>0</v>
      </c>
      <c r="AM488" s="4">
        <v>0</v>
      </c>
      <c r="AN488" s="4">
        <v>0</v>
      </c>
      <c r="AO488" s="4">
        <v>8.612791538829862E-07</v>
      </c>
      <c r="AP488" s="6">
        <v>0.00030873646000712765</v>
      </c>
      <c r="AQ488">
        <v>0.0001389003033830677</v>
      </c>
      <c r="AR488">
        <v>0</v>
      </c>
      <c r="AS488">
        <v>0.000558884920467914</v>
      </c>
      <c r="AT488">
        <v>0</v>
      </c>
      <c r="AU488">
        <v>0</v>
      </c>
      <c r="AV488">
        <v>0.0001389003033830677</v>
      </c>
      <c r="AW488">
        <v>1</v>
      </c>
      <c r="AX488" s="53">
        <f>100*(C493+C494+C495+C496+C497+C498+C499+C500)/C501</f>
        <v>78.51239669421487</v>
      </c>
      <c r="AY488" s="53">
        <f>100*(X493+X494+X495+X496+X497+X498+X499+X500)/X501</f>
        <v>78.92612395264565</v>
      </c>
      <c r="AZ488" s="53" t="s">
        <v>96</v>
      </c>
    </row>
    <row r="489" spans="2:49" ht="12.75">
      <c r="B489" s="3" t="s">
        <v>11</v>
      </c>
      <c r="C489">
        <v>0</v>
      </c>
      <c r="G489" s="19">
        <v>0</v>
      </c>
      <c r="H489" s="4">
        <v>0</v>
      </c>
      <c r="I489" s="4">
        <v>0</v>
      </c>
      <c r="J489" s="4">
        <v>0</v>
      </c>
      <c r="K489" s="4">
        <v>0</v>
      </c>
      <c r="L489" s="4">
        <v>0</v>
      </c>
      <c r="M489" s="4">
        <v>0</v>
      </c>
      <c r="N489" s="27">
        <v>0</v>
      </c>
      <c r="O489" s="4">
        <v>0</v>
      </c>
      <c r="P489" s="4">
        <v>2.6888326446973726E-06</v>
      </c>
      <c r="Q489" s="4">
        <v>0.003033920533196096</v>
      </c>
      <c r="R489" s="4">
        <v>0</v>
      </c>
      <c r="S489" s="4">
        <v>0</v>
      </c>
      <c r="T489" s="4">
        <v>0</v>
      </c>
      <c r="U489" s="4">
        <v>0</v>
      </c>
      <c r="V489" s="17">
        <v>0.0013767322031665397</v>
      </c>
      <c r="W489" s="17">
        <v>0.004413341569007333</v>
      </c>
      <c r="X489" s="18">
        <v>1.0680286596997746</v>
      </c>
      <c r="Y489" s="18"/>
      <c r="Z489" s="19">
        <v>0</v>
      </c>
      <c r="AA489" s="4">
        <v>0</v>
      </c>
      <c r="AB489" s="4">
        <v>0</v>
      </c>
      <c r="AC489" s="4">
        <v>0</v>
      </c>
      <c r="AD489" s="4">
        <v>0</v>
      </c>
      <c r="AE489" s="4">
        <v>0</v>
      </c>
      <c r="AF489" s="4">
        <v>0</v>
      </c>
      <c r="AG489" s="4">
        <v>0</v>
      </c>
      <c r="AH489" s="19">
        <v>0</v>
      </c>
      <c r="AI489" s="17">
        <v>1.8533741302887859E-09</v>
      </c>
      <c r="AJ489" s="4">
        <v>1.003391482374391E-05</v>
      </c>
      <c r="AK489" s="4">
        <v>0</v>
      </c>
      <c r="AL489" s="4">
        <v>0</v>
      </c>
      <c r="AM489" s="4">
        <v>0</v>
      </c>
      <c r="AN489" s="4">
        <v>0</v>
      </c>
      <c r="AO489" s="4">
        <v>2.4070628164536776E-05</v>
      </c>
      <c r="AP489" s="6">
        <v>3.410639636241098E-05</v>
      </c>
      <c r="AQ489">
        <v>1.0680286596997746</v>
      </c>
      <c r="AR489">
        <v>1</v>
      </c>
      <c r="AS489">
        <v>1.1406852179400968</v>
      </c>
      <c r="AT489">
        <v>1.0680286596997746</v>
      </c>
      <c r="AU489">
        <v>0</v>
      </c>
      <c r="AV489">
        <v>0</v>
      </c>
      <c r="AW489">
        <v>0</v>
      </c>
    </row>
    <row r="490" spans="1:49" ht="12.75">
      <c r="A490" s="15"/>
      <c r="B490" s="16" t="s">
        <v>12</v>
      </c>
      <c r="C490">
        <v>3</v>
      </c>
      <c r="G490" s="19">
        <v>0</v>
      </c>
      <c r="H490" s="17">
        <v>0</v>
      </c>
      <c r="I490" s="17">
        <v>0</v>
      </c>
      <c r="J490" s="17">
        <v>0</v>
      </c>
      <c r="K490" s="17">
        <v>0</v>
      </c>
      <c r="L490" s="17">
        <v>0</v>
      </c>
      <c r="M490" s="17">
        <v>0</v>
      </c>
      <c r="N490" s="27">
        <v>0</v>
      </c>
      <c r="O490" s="17">
        <v>0</v>
      </c>
      <c r="P490" s="17">
        <v>1.2901216295098356E-05</v>
      </c>
      <c r="Q490" s="17">
        <v>0.000632320580050637</v>
      </c>
      <c r="R490" s="17">
        <v>0</v>
      </c>
      <c r="S490" s="17">
        <v>0</v>
      </c>
      <c r="T490" s="17">
        <v>0</v>
      </c>
      <c r="U490" s="17">
        <v>0</v>
      </c>
      <c r="V490" s="17">
        <v>0.006605662114563428</v>
      </c>
      <c r="W490" s="17">
        <v>0.007250883910909164</v>
      </c>
      <c r="X490" s="18">
        <v>1.7547139064400177</v>
      </c>
      <c r="Y490" s="18"/>
      <c r="Z490" s="19">
        <v>0</v>
      </c>
      <c r="AA490" s="4">
        <v>0</v>
      </c>
      <c r="AB490" s="4">
        <v>0</v>
      </c>
      <c r="AC490" s="17">
        <v>0</v>
      </c>
      <c r="AD490" s="17">
        <v>0</v>
      </c>
      <c r="AE490" s="17">
        <v>0</v>
      </c>
      <c r="AF490" s="17">
        <v>0</v>
      </c>
      <c r="AG490" s="17">
        <v>0</v>
      </c>
      <c r="AH490" s="19">
        <v>0</v>
      </c>
      <c r="AI490" s="17">
        <v>4.266746739452155E-08</v>
      </c>
      <c r="AJ490" s="17">
        <v>4.358495897564312E-07</v>
      </c>
      <c r="AK490" s="17">
        <v>0</v>
      </c>
      <c r="AL490" s="17">
        <v>0</v>
      </c>
      <c r="AM490" s="17">
        <v>0</v>
      </c>
      <c r="AN490" s="17">
        <v>0</v>
      </c>
      <c r="AO490" s="17">
        <v>0.0005541421592066771</v>
      </c>
      <c r="AP490" s="6">
        <v>0.0005546206762638281</v>
      </c>
      <c r="AQ490">
        <v>0.8837551518355683</v>
      </c>
      <c r="AR490">
        <v>1</v>
      </c>
      <c r="AS490">
        <v>1.550737454813881</v>
      </c>
      <c r="AT490">
        <v>1.7547139064400177</v>
      </c>
      <c r="AU490">
        <v>3</v>
      </c>
      <c r="AV490">
        <v>0</v>
      </c>
      <c r="AW490">
        <v>0</v>
      </c>
    </row>
    <row r="491" spans="1:49" ht="12.75">
      <c r="A491" s="15"/>
      <c r="B491" s="16" t="s">
        <v>13</v>
      </c>
      <c r="C491">
        <v>3</v>
      </c>
      <c r="G491" s="19">
        <v>0</v>
      </c>
      <c r="H491" s="17">
        <v>0</v>
      </c>
      <c r="I491" s="17">
        <v>0</v>
      </c>
      <c r="J491" s="17">
        <v>0</v>
      </c>
      <c r="K491" s="17">
        <v>0</v>
      </c>
      <c r="L491" s="17">
        <v>0</v>
      </c>
      <c r="M491" s="17">
        <v>0</v>
      </c>
      <c r="N491" s="27">
        <v>0</v>
      </c>
      <c r="O491" s="17">
        <v>0</v>
      </c>
      <c r="P491" s="17">
        <v>2.6888326446973726E-06</v>
      </c>
      <c r="Q491" s="17">
        <v>0.003033920533196096</v>
      </c>
      <c r="R491" s="17">
        <v>0</v>
      </c>
      <c r="S491" s="17">
        <v>0</v>
      </c>
      <c r="T491" s="17">
        <v>0</v>
      </c>
      <c r="U491" s="17">
        <v>0</v>
      </c>
      <c r="V491" s="17">
        <v>0.0013767322031665397</v>
      </c>
      <c r="W491" s="17">
        <v>0.004413341569007333</v>
      </c>
      <c r="X491" s="18">
        <v>1.0680286596997746</v>
      </c>
      <c r="Y491" s="18"/>
      <c r="Z491" s="19">
        <v>0</v>
      </c>
      <c r="AA491" s="4">
        <v>0</v>
      </c>
      <c r="AB491" s="4">
        <v>0</v>
      </c>
      <c r="AC491" s="17">
        <v>0</v>
      </c>
      <c r="AD491" s="17">
        <v>0</v>
      </c>
      <c r="AE491" s="17">
        <v>0</v>
      </c>
      <c r="AF491" s="17">
        <v>0</v>
      </c>
      <c r="AG491" s="17">
        <v>0</v>
      </c>
      <c r="AH491" s="19">
        <v>0</v>
      </c>
      <c r="AI491" s="17">
        <v>1.8533741302887859E-09</v>
      </c>
      <c r="AJ491" s="17">
        <v>1.003391482374391E-05</v>
      </c>
      <c r="AK491" s="17">
        <v>0</v>
      </c>
      <c r="AL491" s="17">
        <v>0</v>
      </c>
      <c r="AM491" s="17">
        <v>0</v>
      </c>
      <c r="AN491" s="17">
        <v>0</v>
      </c>
      <c r="AO491" s="17">
        <v>2.4070628164536776E-05</v>
      </c>
      <c r="AP491" s="6">
        <v>3.410639636241098E-05</v>
      </c>
      <c r="AQ491">
        <v>3.4947688208953758</v>
      </c>
      <c r="AR491">
        <v>1</v>
      </c>
      <c r="AS491">
        <v>3.7325132597414497</v>
      </c>
      <c r="AT491">
        <v>1.0680286596997746</v>
      </c>
      <c r="AU491">
        <v>3</v>
      </c>
      <c r="AV491">
        <v>0</v>
      </c>
      <c r="AW491">
        <v>0</v>
      </c>
    </row>
    <row r="492" spans="1:49" ht="13.5" thickBot="1">
      <c r="A492" s="11" t="s">
        <v>4</v>
      </c>
      <c r="B492" s="12" t="s">
        <v>14</v>
      </c>
      <c r="C492">
        <v>2</v>
      </c>
      <c r="G492" s="20">
        <v>0</v>
      </c>
      <c r="H492" s="13">
        <v>0</v>
      </c>
      <c r="I492" s="13">
        <v>0</v>
      </c>
      <c r="J492" s="13">
        <v>0</v>
      </c>
      <c r="K492" s="13">
        <v>0</v>
      </c>
      <c r="L492" s="13">
        <v>0</v>
      </c>
      <c r="M492" s="13">
        <v>0</v>
      </c>
      <c r="N492" s="28">
        <v>0</v>
      </c>
      <c r="O492" s="13">
        <v>0</v>
      </c>
      <c r="P492" s="13">
        <v>1.2901216295098356E-05</v>
      </c>
      <c r="Q492" s="13">
        <v>0.000632320580050637</v>
      </c>
      <c r="R492" s="13">
        <v>0</v>
      </c>
      <c r="S492" s="13">
        <v>0</v>
      </c>
      <c r="T492" s="13">
        <v>0</v>
      </c>
      <c r="U492" s="13">
        <v>0</v>
      </c>
      <c r="V492" s="13">
        <v>0.006605662114563428</v>
      </c>
      <c r="W492" s="13">
        <v>0.007250883910909164</v>
      </c>
      <c r="X492" s="14">
        <v>1.7547139064400177</v>
      </c>
      <c r="Y492" s="14"/>
      <c r="Z492" s="20">
        <v>0</v>
      </c>
      <c r="AA492" s="13">
        <v>0</v>
      </c>
      <c r="AB492" s="13">
        <v>0</v>
      </c>
      <c r="AC492" s="13">
        <v>0</v>
      </c>
      <c r="AD492" s="13">
        <v>0</v>
      </c>
      <c r="AE492" s="13">
        <v>0</v>
      </c>
      <c r="AF492" s="13">
        <v>0</v>
      </c>
      <c r="AG492" s="13">
        <v>0</v>
      </c>
      <c r="AH492" s="20">
        <v>0</v>
      </c>
      <c r="AI492" s="13">
        <v>4.266746739452155E-08</v>
      </c>
      <c r="AJ492" s="13">
        <v>4.358495897564312E-07</v>
      </c>
      <c r="AK492" s="13">
        <v>0</v>
      </c>
      <c r="AL492" s="13">
        <v>0</v>
      </c>
      <c r="AM492" s="13">
        <v>0</v>
      </c>
      <c r="AN492" s="13">
        <v>0</v>
      </c>
      <c r="AO492" s="13">
        <v>0.0005541421592066771</v>
      </c>
      <c r="AP492" s="6">
        <v>0.0005546206762638281</v>
      </c>
      <c r="AQ492">
        <v>0.03428779328248463</v>
      </c>
      <c r="AR492">
        <v>1</v>
      </c>
      <c r="AS492">
        <v>0.0601652676939164</v>
      </c>
      <c r="AT492">
        <v>1.7547139064400177</v>
      </c>
      <c r="AU492">
        <v>2</v>
      </c>
      <c r="AV492">
        <v>0</v>
      </c>
      <c r="AW492">
        <v>0</v>
      </c>
    </row>
    <row r="493" spans="2:49" ht="12.75">
      <c r="B493" s="3" t="s">
        <v>7</v>
      </c>
      <c r="C493">
        <v>99</v>
      </c>
      <c r="G493" s="19">
        <v>0</v>
      </c>
      <c r="H493" s="4">
        <v>0</v>
      </c>
      <c r="I493" s="4">
        <v>0</v>
      </c>
      <c r="J493" s="4">
        <v>0</v>
      </c>
      <c r="K493" s="4">
        <v>0</v>
      </c>
      <c r="L493" s="4">
        <v>0</v>
      </c>
      <c r="M493" s="4">
        <v>0</v>
      </c>
      <c r="N493" s="27">
        <v>0</v>
      </c>
      <c r="O493" s="4">
        <v>0</v>
      </c>
      <c r="P493" s="4">
        <v>0.0002554340295178797</v>
      </c>
      <c r="Q493" s="4">
        <v>0.28821672801377907</v>
      </c>
      <c r="R493" s="4">
        <v>0</v>
      </c>
      <c r="S493" s="4">
        <v>0</v>
      </c>
      <c r="T493" s="4">
        <v>0</v>
      </c>
      <c r="U493" s="4">
        <v>0</v>
      </c>
      <c r="V493" s="17">
        <v>0.0002032765103931256</v>
      </c>
      <c r="W493" s="17">
        <v>0.2886754385536901</v>
      </c>
      <c r="X493" s="18">
        <v>69.859456129993</v>
      </c>
      <c r="Y493" s="18"/>
      <c r="Z493" s="19">
        <v>0</v>
      </c>
      <c r="AA493" s="4">
        <v>0</v>
      </c>
      <c r="AB493" s="19">
        <v>0</v>
      </c>
      <c r="AC493" s="4">
        <v>0</v>
      </c>
      <c r="AD493" s="4">
        <v>0</v>
      </c>
      <c r="AE493" s="4">
        <v>0</v>
      </c>
      <c r="AF493" s="4">
        <v>0</v>
      </c>
      <c r="AG493" s="4">
        <v>0</v>
      </c>
      <c r="AH493" s="19">
        <v>0</v>
      </c>
      <c r="AI493" s="17">
        <v>1.6726037317095122E-05</v>
      </c>
      <c r="AJ493" s="4">
        <v>0.09055248534862428</v>
      </c>
      <c r="AK493" s="4">
        <v>0</v>
      </c>
      <c r="AL493" s="4">
        <v>0</v>
      </c>
      <c r="AM493" s="4">
        <v>0</v>
      </c>
      <c r="AN493" s="4">
        <v>0</v>
      </c>
      <c r="AO493" s="4">
        <v>5.247625999987107E-07</v>
      </c>
      <c r="AP493" s="6">
        <v>0.09056973614854137</v>
      </c>
      <c r="AQ493">
        <v>12.155423819213281</v>
      </c>
      <c r="AR493">
        <v>0</v>
      </c>
      <c r="AS493">
        <v>849.1712970398022</v>
      </c>
      <c r="AT493">
        <v>0</v>
      </c>
      <c r="AU493">
        <v>0</v>
      </c>
      <c r="AV493">
        <v>12.155423819213281</v>
      </c>
      <c r="AW493">
        <v>1</v>
      </c>
    </row>
    <row r="494" spans="2:49" ht="12.75">
      <c r="B494" s="3" t="s">
        <v>15</v>
      </c>
      <c r="C494">
        <v>21</v>
      </c>
      <c r="G494" s="19">
        <v>0</v>
      </c>
      <c r="H494" s="4">
        <v>0</v>
      </c>
      <c r="I494" s="4">
        <v>0</v>
      </c>
      <c r="J494" s="4">
        <v>0</v>
      </c>
      <c r="K494" s="4">
        <v>0</v>
      </c>
      <c r="L494" s="4">
        <v>0</v>
      </c>
      <c r="M494" s="4">
        <v>0</v>
      </c>
      <c r="N494" s="27">
        <v>0</v>
      </c>
      <c r="O494" s="4">
        <v>0</v>
      </c>
      <c r="P494" s="4">
        <v>0.0012255912135095345</v>
      </c>
      <c r="Q494" s="4">
        <v>0.06006926240944825</v>
      </c>
      <c r="R494" s="4">
        <v>0</v>
      </c>
      <c r="S494" s="4">
        <v>0</v>
      </c>
      <c r="T494" s="4">
        <v>0</v>
      </c>
      <c r="U494" s="4">
        <v>0</v>
      </c>
      <c r="V494" s="17">
        <v>0.0009753356102196852</v>
      </c>
      <c r="W494" s="17">
        <v>0.062270189233177474</v>
      </c>
      <c r="X494" s="18">
        <v>15.069385794428948</v>
      </c>
      <c r="Y494" s="18"/>
      <c r="Z494" s="19">
        <v>0</v>
      </c>
      <c r="AA494" s="4">
        <v>0</v>
      </c>
      <c r="AB494" s="19">
        <v>0</v>
      </c>
      <c r="AC494" s="4">
        <v>0</v>
      </c>
      <c r="AD494" s="4">
        <v>0</v>
      </c>
      <c r="AE494" s="4">
        <v>0</v>
      </c>
      <c r="AF494" s="4">
        <v>0</v>
      </c>
      <c r="AG494" s="4">
        <v>0</v>
      </c>
      <c r="AH494" s="19">
        <v>0</v>
      </c>
      <c r="AI494" s="17">
        <v>0.00038505860214823836</v>
      </c>
      <c r="AJ494" s="4">
        <v>0.003933386348589403</v>
      </c>
      <c r="AK494" s="4">
        <v>0</v>
      </c>
      <c r="AL494" s="4">
        <v>0</v>
      </c>
      <c r="AM494" s="4">
        <v>0</v>
      </c>
      <c r="AN494" s="4">
        <v>0</v>
      </c>
      <c r="AO494" s="4">
        <v>1.2080826401640007E-05</v>
      </c>
      <c r="AP494" s="6">
        <v>0.004330525777139281</v>
      </c>
      <c r="AQ494">
        <v>2.334015820891923</v>
      </c>
      <c r="AR494">
        <v>0</v>
      </c>
      <c r="AS494">
        <v>35.17218485532116</v>
      </c>
      <c r="AT494">
        <v>0</v>
      </c>
      <c r="AU494">
        <v>0</v>
      </c>
      <c r="AV494">
        <v>2.334015820891923</v>
      </c>
      <c r="AW494">
        <v>1</v>
      </c>
    </row>
    <row r="495" spans="2:49" ht="12.75">
      <c r="B495" s="3" t="s">
        <v>16</v>
      </c>
      <c r="C495">
        <v>44</v>
      </c>
      <c r="G495" s="19">
        <v>0</v>
      </c>
      <c r="H495" s="4">
        <v>0</v>
      </c>
      <c r="I495" s="4">
        <v>0</v>
      </c>
      <c r="J495" s="4">
        <v>0</v>
      </c>
      <c r="K495" s="4">
        <v>0</v>
      </c>
      <c r="L495" s="4">
        <v>0</v>
      </c>
      <c r="M495" s="4">
        <v>0</v>
      </c>
      <c r="N495" s="27">
        <v>0</v>
      </c>
      <c r="O495" s="4">
        <v>0</v>
      </c>
      <c r="P495" s="4">
        <v>0.0002554340295178797</v>
      </c>
      <c r="Q495" s="4">
        <v>0.28821672801377907</v>
      </c>
      <c r="R495" s="4">
        <v>0</v>
      </c>
      <c r="S495" s="4">
        <v>0</v>
      </c>
      <c r="T495" s="4">
        <v>0</v>
      </c>
      <c r="U495" s="4">
        <v>0</v>
      </c>
      <c r="V495" s="17">
        <v>0.0002032765103931256</v>
      </c>
      <c r="W495" s="17">
        <v>0.2886754385536901</v>
      </c>
      <c r="X495" s="18">
        <v>69.859456129993</v>
      </c>
      <c r="Y495" s="18"/>
      <c r="Z495" s="19">
        <v>0</v>
      </c>
      <c r="AA495" s="4">
        <v>0</v>
      </c>
      <c r="AB495" s="19">
        <v>0</v>
      </c>
      <c r="AC495" s="4">
        <v>0</v>
      </c>
      <c r="AD495" s="4">
        <v>0</v>
      </c>
      <c r="AE495" s="4">
        <v>0</v>
      </c>
      <c r="AF495" s="4">
        <v>0</v>
      </c>
      <c r="AG495" s="4">
        <v>0</v>
      </c>
      <c r="AH495" s="19">
        <v>0</v>
      </c>
      <c r="AI495" s="17">
        <v>1.6726037317095122E-05</v>
      </c>
      <c r="AJ495" s="4">
        <v>0.09055248534862428</v>
      </c>
      <c r="AK495" s="4">
        <v>0</v>
      </c>
      <c r="AL495" s="4">
        <v>0</v>
      </c>
      <c r="AM495" s="4">
        <v>0</v>
      </c>
      <c r="AN495" s="4">
        <v>0</v>
      </c>
      <c r="AO495" s="4">
        <v>5.247625999987107E-07</v>
      </c>
      <c r="AP495" s="6">
        <v>0.09056973614854137</v>
      </c>
      <c r="AQ495">
        <v>9.572239871073554</v>
      </c>
      <c r="AR495">
        <v>0</v>
      </c>
      <c r="AS495">
        <v>668.7114713390329</v>
      </c>
      <c r="AT495">
        <v>0</v>
      </c>
      <c r="AU495">
        <v>0</v>
      </c>
      <c r="AV495">
        <v>9.572239871073554</v>
      </c>
      <c r="AW495">
        <v>1</v>
      </c>
    </row>
    <row r="496" spans="2:49" ht="12.75">
      <c r="B496" s="3" t="s">
        <v>17</v>
      </c>
      <c r="C496">
        <v>8</v>
      </c>
      <c r="G496" s="19">
        <v>0</v>
      </c>
      <c r="H496" s="4">
        <v>0</v>
      </c>
      <c r="I496" s="4">
        <v>0</v>
      </c>
      <c r="J496" s="4">
        <v>0</v>
      </c>
      <c r="K496" s="4">
        <v>0</v>
      </c>
      <c r="L496" s="4">
        <v>0</v>
      </c>
      <c r="M496" s="4">
        <v>0</v>
      </c>
      <c r="N496" s="27">
        <v>0</v>
      </c>
      <c r="O496" s="4">
        <v>0</v>
      </c>
      <c r="P496" s="4">
        <v>0.0012255912135095345</v>
      </c>
      <c r="Q496" s="4">
        <v>0.06006926240944825</v>
      </c>
      <c r="R496" s="4">
        <v>0</v>
      </c>
      <c r="S496" s="4">
        <v>0</v>
      </c>
      <c r="T496" s="4">
        <v>0</v>
      </c>
      <c r="U496" s="4">
        <v>0</v>
      </c>
      <c r="V496" s="17">
        <v>0.0009753356102196852</v>
      </c>
      <c r="W496" s="17">
        <v>0.062270189233177474</v>
      </c>
      <c r="X496" s="18">
        <v>15.069385794428948</v>
      </c>
      <c r="Y496" s="18"/>
      <c r="Z496" s="19">
        <v>0</v>
      </c>
      <c r="AA496" s="4">
        <v>0</v>
      </c>
      <c r="AB496" s="19">
        <v>0</v>
      </c>
      <c r="AC496" s="4">
        <v>0</v>
      </c>
      <c r="AD496" s="4">
        <v>0</v>
      </c>
      <c r="AE496" s="4">
        <v>0</v>
      </c>
      <c r="AF496" s="4">
        <v>0</v>
      </c>
      <c r="AG496" s="4">
        <v>0</v>
      </c>
      <c r="AH496" s="19">
        <v>0</v>
      </c>
      <c r="AI496" s="17">
        <v>0.00038505860214823836</v>
      </c>
      <c r="AJ496" s="4">
        <v>0.003933386348589403</v>
      </c>
      <c r="AK496" s="4">
        <v>0</v>
      </c>
      <c r="AL496" s="4">
        <v>0</v>
      </c>
      <c r="AM496" s="4">
        <v>0</v>
      </c>
      <c r="AN496" s="4">
        <v>0</v>
      </c>
      <c r="AO496" s="4">
        <v>1.2080826401640007E-05</v>
      </c>
      <c r="AP496" s="6">
        <v>0.004330525777139281</v>
      </c>
      <c r="AQ496">
        <v>3.3164069320562275</v>
      </c>
      <c r="AR496">
        <v>0</v>
      </c>
      <c r="AS496">
        <v>49.97621551047381</v>
      </c>
      <c r="AT496">
        <v>0</v>
      </c>
      <c r="AU496">
        <v>0</v>
      </c>
      <c r="AV496">
        <v>3.3164069320562275</v>
      </c>
      <c r="AW496">
        <v>1</v>
      </c>
    </row>
    <row r="497" spans="2:49" ht="12.75">
      <c r="B497" s="3" t="s">
        <v>18</v>
      </c>
      <c r="C497">
        <v>5</v>
      </c>
      <c r="G497" s="19">
        <v>0</v>
      </c>
      <c r="H497" s="4">
        <v>0</v>
      </c>
      <c r="I497" s="4">
        <v>0</v>
      </c>
      <c r="J497" s="4">
        <v>0</v>
      </c>
      <c r="K497" s="4">
        <v>0</v>
      </c>
      <c r="L497" s="4">
        <v>0</v>
      </c>
      <c r="M497" s="4">
        <v>0</v>
      </c>
      <c r="N497" s="27">
        <v>0</v>
      </c>
      <c r="O497" s="4">
        <v>0</v>
      </c>
      <c r="P497" s="4">
        <v>1.0070247073980807E-05</v>
      </c>
      <c r="Q497" s="4">
        <v>0.011362674219371854</v>
      </c>
      <c r="R497" s="4">
        <v>0</v>
      </c>
      <c r="S497" s="4">
        <v>0</v>
      </c>
      <c r="T497" s="4">
        <v>0</v>
      </c>
      <c r="U497" s="4">
        <v>0</v>
      </c>
      <c r="V497" s="17">
        <v>0.005156153347042315</v>
      </c>
      <c r="W497" s="17">
        <v>0.01652889781348815</v>
      </c>
      <c r="X497" s="18">
        <v>3.999993270864132</v>
      </c>
      <c r="Y497" s="18"/>
      <c r="Z497" s="19">
        <v>0</v>
      </c>
      <c r="AA497" s="4">
        <v>0</v>
      </c>
      <c r="AB497" s="19">
        <v>0</v>
      </c>
      <c r="AC497" s="4">
        <v>0</v>
      </c>
      <c r="AD497" s="4">
        <v>0</v>
      </c>
      <c r="AE497" s="4">
        <v>0</v>
      </c>
      <c r="AF497" s="4">
        <v>0</v>
      </c>
      <c r="AG497" s="4">
        <v>0</v>
      </c>
      <c r="AH497" s="19">
        <v>0</v>
      </c>
      <c r="AI497" s="17">
        <v>2.599655526824849E-08</v>
      </c>
      <c r="AJ497" s="4">
        <v>0.0001407418054506416</v>
      </c>
      <c r="AK497" s="4">
        <v>0</v>
      </c>
      <c r="AL497" s="4">
        <v>0</v>
      </c>
      <c r="AM497" s="4">
        <v>0</v>
      </c>
      <c r="AN497" s="4">
        <v>0</v>
      </c>
      <c r="AO497" s="4">
        <v>0.00033762930279130233</v>
      </c>
      <c r="AP497" s="6">
        <v>0.0004783971047972122</v>
      </c>
      <c r="AQ497">
        <v>0.2500037851566138</v>
      </c>
      <c r="AR497">
        <v>1</v>
      </c>
      <c r="AS497">
        <v>1.0000134583170175</v>
      </c>
      <c r="AT497">
        <v>3.999993270864132</v>
      </c>
      <c r="AU497">
        <v>5</v>
      </c>
      <c r="AV497">
        <v>0</v>
      </c>
      <c r="AW497">
        <v>0</v>
      </c>
    </row>
    <row r="498" spans="2:49" ht="12.75">
      <c r="B498" s="16" t="s">
        <v>19</v>
      </c>
      <c r="C498">
        <v>1</v>
      </c>
      <c r="G498" s="19">
        <v>0</v>
      </c>
      <c r="H498" s="4">
        <v>0</v>
      </c>
      <c r="I498" s="4">
        <v>0</v>
      </c>
      <c r="J498" s="4">
        <v>0</v>
      </c>
      <c r="K498" s="4">
        <v>0</v>
      </c>
      <c r="L498" s="4">
        <v>0</v>
      </c>
      <c r="M498" s="4">
        <v>0</v>
      </c>
      <c r="N498" s="27">
        <v>0</v>
      </c>
      <c r="O498" s="4">
        <v>0</v>
      </c>
      <c r="P498" s="4">
        <v>4.831778426326344E-05</v>
      </c>
      <c r="Q498" s="4">
        <v>0.002368174339012999</v>
      </c>
      <c r="R498" s="4">
        <v>0</v>
      </c>
      <c r="S498" s="4">
        <v>0</v>
      </c>
      <c r="T498" s="4">
        <v>0</v>
      </c>
      <c r="U498" s="4">
        <v>0</v>
      </c>
      <c r="V498" s="17">
        <v>0.0247396020395963</v>
      </c>
      <c r="W498" s="17">
        <v>0.027156094162872565</v>
      </c>
      <c r="X498" s="18">
        <v>6.571774787415161</v>
      </c>
      <c r="Y498" s="18"/>
      <c r="Z498" s="19">
        <v>0</v>
      </c>
      <c r="AA498" s="4">
        <v>0</v>
      </c>
      <c r="AB498" s="19">
        <v>0</v>
      </c>
      <c r="AC498" s="4">
        <v>0</v>
      </c>
      <c r="AD498" s="4">
        <v>0</v>
      </c>
      <c r="AE498" s="4">
        <v>0</v>
      </c>
      <c r="AF498" s="4">
        <v>0</v>
      </c>
      <c r="AG498" s="4">
        <v>0</v>
      </c>
      <c r="AH498" s="19">
        <v>0</v>
      </c>
      <c r="AI498" s="17">
        <v>5.984799054603387E-07</v>
      </c>
      <c r="AJ498" s="4">
        <v>6.1134920163048826E-06</v>
      </c>
      <c r="AK498" s="4">
        <v>0</v>
      </c>
      <c r="AL498" s="4">
        <v>0</v>
      </c>
      <c r="AM498" s="4">
        <v>0</v>
      </c>
      <c r="AN498" s="4">
        <v>0</v>
      </c>
      <c r="AO498" s="4">
        <v>0.007772735700178507</v>
      </c>
      <c r="AP498" s="6">
        <v>0.007779447672100272</v>
      </c>
      <c r="AQ498">
        <v>4.723940683592094</v>
      </c>
      <c r="AR498">
        <v>0</v>
      </c>
      <c r="AS498">
        <v>31.044674281675263</v>
      </c>
      <c r="AT498">
        <v>0</v>
      </c>
      <c r="AU498">
        <v>0</v>
      </c>
      <c r="AV498">
        <v>4.723940683592094</v>
      </c>
      <c r="AW498">
        <v>1</v>
      </c>
    </row>
    <row r="499" spans="2:49" ht="12.75">
      <c r="B499" s="16" t="s">
        <v>20</v>
      </c>
      <c r="C499">
        <v>2</v>
      </c>
      <c r="G499" s="19">
        <v>0</v>
      </c>
      <c r="H499" s="4">
        <v>0</v>
      </c>
      <c r="I499" s="4">
        <v>0</v>
      </c>
      <c r="J499" s="4">
        <v>0</v>
      </c>
      <c r="K499" s="4">
        <v>0</v>
      </c>
      <c r="L499" s="4">
        <v>0</v>
      </c>
      <c r="M499" s="4">
        <v>0</v>
      </c>
      <c r="N499" s="27">
        <v>0</v>
      </c>
      <c r="O499" s="4">
        <v>0</v>
      </c>
      <c r="P499" s="4">
        <v>1.0070247073980807E-05</v>
      </c>
      <c r="Q499" s="4">
        <v>0.011362674219371854</v>
      </c>
      <c r="R499" s="4">
        <v>0</v>
      </c>
      <c r="S499" s="4">
        <v>0</v>
      </c>
      <c r="T499" s="4">
        <v>0</v>
      </c>
      <c r="U499" s="4">
        <v>0</v>
      </c>
      <c r="V499" s="17">
        <v>0.005156153347042315</v>
      </c>
      <c r="W499" s="17">
        <v>0.01652889781348815</v>
      </c>
      <c r="X499" s="18">
        <v>3.999993270864132</v>
      </c>
      <c r="Y499" s="18"/>
      <c r="Z499" s="19">
        <v>0</v>
      </c>
      <c r="AA499" s="4">
        <v>0</v>
      </c>
      <c r="AB499" s="19">
        <v>0</v>
      </c>
      <c r="AC499" s="4">
        <v>0</v>
      </c>
      <c r="AD499" s="4">
        <v>0</v>
      </c>
      <c r="AE499" s="4">
        <v>0</v>
      </c>
      <c r="AF499" s="4">
        <v>0</v>
      </c>
      <c r="AG499" s="4">
        <v>0</v>
      </c>
      <c r="AH499" s="19">
        <v>0</v>
      </c>
      <c r="AI499" s="17">
        <v>2.599655526824849E-08</v>
      </c>
      <c r="AJ499" s="4">
        <v>0.0001407418054506416</v>
      </c>
      <c r="AK499" s="4">
        <v>0</v>
      </c>
      <c r="AL499" s="4">
        <v>0</v>
      </c>
      <c r="AM499" s="4">
        <v>0</v>
      </c>
      <c r="AN499" s="4">
        <v>0</v>
      </c>
      <c r="AO499" s="4">
        <v>0.00033762930279130233</v>
      </c>
      <c r="AP499" s="6">
        <v>0.0004783971047972122</v>
      </c>
      <c r="AQ499">
        <v>0.999994953150929</v>
      </c>
      <c r="AR499">
        <v>1</v>
      </c>
      <c r="AS499">
        <v>3.999973083501809</v>
      </c>
      <c r="AT499">
        <v>3.999993270864132</v>
      </c>
      <c r="AU499">
        <v>2</v>
      </c>
      <c r="AV499">
        <v>0</v>
      </c>
      <c r="AW499">
        <v>0</v>
      </c>
    </row>
    <row r="500" spans="2:49" ht="13.5" thickBot="1">
      <c r="B500" s="12" t="s">
        <v>21</v>
      </c>
      <c r="C500">
        <v>10</v>
      </c>
      <c r="G500" s="19">
        <v>0</v>
      </c>
      <c r="H500" s="4">
        <v>0</v>
      </c>
      <c r="I500" s="4">
        <v>0</v>
      </c>
      <c r="J500" s="4">
        <v>0</v>
      </c>
      <c r="K500" s="4">
        <v>0</v>
      </c>
      <c r="L500" s="4">
        <v>0</v>
      </c>
      <c r="M500" s="4">
        <v>0</v>
      </c>
      <c r="N500" s="27">
        <v>0</v>
      </c>
      <c r="O500" s="4">
        <v>0</v>
      </c>
      <c r="P500" s="4">
        <v>4.831778426326344E-05</v>
      </c>
      <c r="Q500" s="4">
        <v>0.002368174339012999</v>
      </c>
      <c r="R500" s="4">
        <v>0</v>
      </c>
      <c r="S500" s="4">
        <v>0</v>
      </c>
      <c r="T500" s="4">
        <v>0</v>
      </c>
      <c r="U500" s="4">
        <v>0</v>
      </c>
      <c r="V500" s="17">
        <v>0.0247396020395963</v>
      </c>
      <c r="W500" s="17">
        <v>0.027156094162872565</v>
      </c>
      <c r="X500" s="18">
        <v>6.571774787415161</v>
      </c>
      <c r="Y500" s="18"/>
      <c r="Z500" s="19">
        <v>0</v>
      </c>
      <c r="AA500" s="4">
        <v>0</v>
      </c>
      <c r="AB500" s="19">
        <v>0</v>
      </c>
      <c r="AC500" s="4">
        <v>0</v>
      </c>
      <c r="AD500" s="4">
        <v>0</v>
      </c>
      <c r="AE500" s="4">
        <v>0</v>
      </c>
      <c r="AF500" s="4">
        <v>0</v>
      </c>
      <c r="AG500" s="4">
        <v>0</v>
      </c>
      <c r="AH500" s="19">
        <v>0</v>
      </c>
      <c r="AI500" s="17">
        <v>5.984799054603387E-07</v>
      </c>
      <c r="AJ500" s="4">
        <v>6.1134920163048826E-06</v>
      </c>
      <c r="AK500" s="4">
        <v>0</v>
      </c>
      <c r="AL500" s="4">
        <v>0</v>
      </c>
      <c r="AM500" s="4">
        <v>0</v>
      </c>
      <c r="AN500" s="4">
        <v>0</v>
      </c>
      <c r="AO500" s="4">
        <v>0.007772735700178507</v>
      </c>
      <c r="AP500" s="6">
        <v>0.007779447672100272</v>
      </c>
      <c r="AQ500">
        <v>1.7883644051084406</v>
      </c>
      <c r="AR500">
        <v>0</v>
      </c>
      <c r="AS500">
        <v>11.752728108202364</v>
      </c>
      <c r="AT500">
        <v>0</v>
      </c>
      <c r="AU500">
        <v>0</v>
      </c>
      <c r="AV500">
        <v>1.7883644051084406</v>
      </c>
      <c r="AW500">
        <v>1</v>
      </c>
    </row>
    <row r="501" spans="3:50" ht="12.75">
      <c r="C501" s="2">
        <v>242</v>
      </c>
      <c r="D501" s="2">
        <v>0</v>
      </c>
      <c r="E501" s="2">
        <v>0</v>
      </c>
      <c r="F501" s="2">
        <v>0</v>
      </c>
      <c r="G501" s="33">
        <v>0</v>
      </c>
      <c r="H501" s="2">
        <v>0</v>
      </c>
      <c r="I501" s="2">
        <v>0</v>
      </c>
      <c r="J501" s="2">
        <v>0</v>
      </c>
      <c r="K501" s="2">
        <v>0</v>
      </c>
      <c r="L501" s="2">
        <v>0</v>
      </c>
      <c r="M501" s="2">
        <v>0</v>
      </c>
      <c r="N501" s="29">
        <v>0</v>
      </c>
      <c r="O501" s="2">
        <v>0</v>
      </c>
      <c r="P501" s="2">
        <v>0.003900896679756581</v>
      </c>
      <c r="Q501" s="2">
        <v>0.917356182849715</v>
      </c>
      <c r="R501" s="2">
        <v>0</v>
      </c>
      <c r="S501" s="2">
        <v>0</v>
      </c>
      <c r="T501" s="2">
        <v>0</v>
      </c>
      <c r="U501" s="2">
        <v>0</v>
      </c>
      <c r="V501" s="32">
        <v>0.07874292047052897</v>
      </c>
      <c r="W501" s="32">
        <v>1</v>
      </c>
      <c r="X501" s="32">
        <v>242</v>
      </c>
      <c r="Y501" s="32"/>
      <c r="Z501" s="33">
        <v>0</v>
      </c>
      <c r="AA501" s="2">
        <v>0</v>
      </c>
      <c r="AB501" s="2">
        <v>0</v>
      </c>
      <c r="AC501" s="2">
        <v>0</v>
      </c>
      <c r="AD501" s="2">
        <v>0</v>
      </c>
      <c r="AE501" s="2">
        <v>0</v>
      </c>
      <c r="AF501" s="2">
        <v>0</v>
      </c>
      <c r="AG501" s="2">
        <v>0</v>
      </c>
      <c r="AH501" s="2">
        <v>0</v>
      </c>
      <c r="AI501" s="2">
        <v>0.0008621961911666539</v>
      </c>
      <c r="AJ501" s="2">
        <v>0.20275876849052052</v>
      </c>
      <c r="AK501" s="2">
        <v>0</v>
      </c>
      <c r="AL501" s="2">
        <v>0</v>
      </c>
      <c r="AM501" s="2">
        <v>0</v>
      </c>
      <c r="AN501" s="2">
        <v>0</v>
      </c>
      <c r="AO501" s="2">
        <v>0.017404164140862436</v>
      </c>
      <c r="AP501" s="2">
        <v>0.22102512882254954</v>
      </c>
      <c r="AQ501" s="36">
        <v>50.677555479336945</v>
      </c>
      <c r="AR501" s="36">
        <v>6</v>
      </c>
      <c r="AT501">
        <v>13.645471674007847</v>
      </c>
      <c r="AU501">
        <v>15</v>
      </c>
      <c r="AV501" s="36">
        <v>43.946716315316195</v>
      </c>
      <c r="AW501" s="36">
        <v>10</v>
      </c>
      <c r="AX501" t="s">
        <v>83</v>
      </c>
    </row>
    <row r="502" spans="13:50" ht="12.75">
      <c r="M502" s="15"/>
      <c r="N502" s="15"/>
      <c r="AQ502" t="s">
        <v>38</v>
      </c>
      <c r="AU502" s="36">
        <v>0.13445830453849125</v>
      </c>
      <c r="AV502" s="41">
        <v>44.081174619854686</v>
      </c>
      <c r="AX502">
        <f>AV502-AV473</f>
        <v>43.21518407505437</v>
      </c>
    </row>
    <row r="503" spans="5:47" ht="12.75">
      <c r="E503" t="s">
        <v>106</v>
      </c>
      <c r="F503">
        <v>0</v>
      </c>
      <c r="M503" s="15"/>
      <c r="N503" s="15"/>
      <c r="AP503" t="s">
        <v>106</v>
      </c>
      <c r="AU503" t="s">
        <v>61</v>
      </c>
    </row>
    <row r="507" spans="4:26" ht="12.75">
      <c r="D507" t="s">
        <v>3</v>
      </c>
      <c r="Z507"/>
    </row>
    <row r="509" ht="12.75">
      <c r="D509" t="s">
        <v>50</v>
      </c>
    </row>
    <row r="510" ht="12.75">
      <c r="D510" s="9" t="s">
        <v>36</v>
      </c>
    </row>
    <row r="511" spans="1:2" ht="12.75">
      <c r="A511" t="s">
        <v>35</v>
      </c>
      <c r="B511" s="1"/>
    </row>
    <row r="513" ht="12.75">
      <c r="E513" t="s">
        <v>49</v>
      </c>
    </row>
    <row r="514" spans="2:3" ht="12.75">
      <c r="B514" t="s">
        <v>98</v>
      </c>
      <c r="C514" s="48">
        <v>0.03792875656560904</v>
      </c>
    </row>
    <row r="515" spans="2:26" ht="12.75">
      <c r="B515" t="s">
        <v>99</v>
      </c>
      <c r="C515" s="48">
        <v>0.5</v>
      </c>
      <c r="Z515" s="21" t="s">
        <v>34</v>
      </c>
    </row>
    <row r="516" spans="2:3" ht="12.75">
      <c r="B516" t="s">
        <v>100</v>
      </c>
      <c r="C516" s="48">
        <v>0.1724710842846529</v>
      </c>
    </row>
    <row r="517" spans="2:50" ht="12.75">
      <c r="B517" t="s">
        <v>5</v>
      </c>
      <c r="C517" s="48">
        <v>0.21073876047354387</v>
      </c>
      <c r="G517" s="21" t="s">
        <v>107</v>
      </c>
      <c r="O517" s="42"/>
      <c r="Z517" s="21" t="s">
        <v>101</v>
      </c>
      <c r="AP517" t="s">
        <v>108</v>
      </c>
      <c r="AX517" t="s">
        <v>92</v>
      </c>
    </row>
    <row r="518" spans="23:43" ht="12.75">
      <c r="W518" s="30" t="s">
        <v>22</v>
      </c>
      <c r="X518" s="15" t="s">
        <v>2</v>
      </c>
      <c r="AP518" t="s">
        <v>22</v>
      </c>
      <c r="AQ518" t="s">
        <v>37</v>
      </c>
    </row>
    <row r="519" spans="5:52" ht="12.75">
      <c r="E519" s="2"/>
      <c r="F519" s="2"/>
      <c r="G519" s="8">
        <v>0</v>
      </c>
      <c r="H519" s="5">
        <v>0</v>
      </c>
      <c r="I519" s="5">
        <v>0</v>
      </c>
      <c r="J519" s="5">
        <v>0</v>
      </c>
      <c r="K519" s="5">
        <v>0</v>
      </c>
      <c r="L519" s="5">
        <v>0</v>
      </c>
      <c r="M519" s="5">
        <v>0</v>
      </c>
      <c r="N519" s="5">
        <v>0</v>
      </c>
      <c r="O519" s="38">
        <v>0</v>
      </c>
      <c r="P519" s="38">
        <v>0.0039008966797565814</v>
      </c>
      <c r="Q519" s="38">
        <v>0.9173561828497149</v>
      </c>
      <c r="R519" s="8">
        <v>0</v>
      </c>
      <c r="S519" s="5">
        <v>0</v>
      </c>
      <c r="T519" s="5">
        <v>0</v>
      </c>
      <c r="U519" s="5">
        <v>0</v>
      </c>
      <c r="V519" s="38">
        <v>0.07874292047052897</v>
      </c>
      <c r="W519" s="17">
        <v>1</v>
      </c>
      <c r="X519" s="15" t="s">
        <v>97</v>
      </c>
      <c r="Z519" s="34">
        <v>0</v>
      </c>
      <c r="AA519" s="8">
        <v>0</v>
      </c>
      <c r="AB519" s="8">
        <v>0</v>
      </c>
      <c r="AC519" s="8">
        <v>0</v>
      </c>
      <c r="AD519" s="8">
        <v>0</v>
      </c>
      <c r="AE519" s="8">
        <v>0</v>
      </c>
      <c r="AF519" s="8">
        <v>0</v>
      </c>
      <c r="AG519" s="8">
        <v>0</v>
      </c>
      <c r="AH519" s="34">
        <v>0</v>
      </c>
      <c r="AI519" s="35">
        <v>0.0039008966797565814</v>
      </c>
      <c r="AJ519" s="8">
        <v>0.9173561828497149</v>
      </c>
      <c r="AK519" s="8">
        <v>0</v>
      </c>
      <c r="AL519" s="8">
        <v>0</v>
      </c>
      <c r="AM519" s="8">
        <v>0</v>
      </c>
      <c r="AN519" s="8">
        <v>0</v>
      </c>
      <c r="AO519" s="8">
        <v>0.07874292047052897</v>
      </c>
      <c r="AP519" s="6">
        <v>1</v>
      </c>
      <c r="AX519" s="53" t="s">
        <v>90</v>
      </c>
      <c r="AY519" s="53" t="s">
        <v>91</v>
      </c>
      <c r="AZ519" s="53"/>
    </row>
    <row r="520" spans="2:52" ht="12.75">
      <c r="B520" t="s">
        <v>1</v>
      </c>
      <c r="C520" t="s">
        <v>102</v>
      </c>
      <c r="D520" t="s">
        <v>103</v>
      </c>
      <c r="E520" t="s">
        <v>104</v>
      </c>
      <c r="F520" t="s">
        <v>105</v>
      </c>
      <c r="G520" s="23" t="s">
        <v>6</v>
      </c>
      <c r="H520" s="7" t="s">
        <v>8</v>
      </c>
      <c r="I520" s="7" t="s">
        <v>9</v>
      </c>
      <c r="J520" s="7" t="s">
        <v>10</v>
      </c>
      <c r="K520" s="7" t="s">
        <v>11</v>
      </c>
      <c r="L520" s="7" t="s">
        <v>12</v>
      </c>
      <c r="M520" s="7" t="s">
        <v>13</v>
      </c>
      <c r="N520" s="26" t="s">
        <v>14</v>
      </c>
      <c r="O520" s="7" t="s">
        <v>7</v>
      </c>
      <c r="P520" s="7" t="s">
        <v>15</v>
      </c>
      <c r="Q520" s="7" t="s">
        <v>16</v>
      </c>
      <c r="R520" s="7" t="s">
        <v>17</v>
      </c>
      <c r="S520" s="7" t="s">
        <v>18</v>
      </c>
      <c r="T520" s="7" t="s">
        <v>19</v>
      </c>
      <c r="U520" s="7" t="s">
        <v>20</v>
      </c>
      <c r="V520" s="31" t="s">
        <v>21</v>
      </c>
      <c r="W520" s="31"/>
      <c r="Z520" s="23" t="s">
        <v>6</v>
      </c>
      <c r="AA520" s="7" t="s">
        <v>8</v>
      </c>
      <c r="AB520" s="7" t="s">
        <v>9</v>
      </c>
      <c r="AC520" s="7" t="s">
        <v>10</v>
      </c>
      <c r="AD520" s="7" t="s">
        <v>11</v>
      </c>
      <c r="AE520" s="7" t="s">
        <v>12</v>
      </c>
      <c r="AF520" s="7" t="s">
        <v>13</v>
      </c>
      <c r="AG520" s="26" t="s">
        <v>14</v>
      </c>
      <c r="AH520" s="7" t="s">
        <v>7</v>
      </c>
      <c r="AI520" s="7" t="s">
        <v>15</v>
      </c>
      <c r="AJ520" s="7" t="s">
        <v>16</v>
      </c>
      <c r="AK520" s="7" t="s">
        <v>17</v>
      </c>
      <c r="AL520" s="7" t="s">
        <v>18</v>
      </c>
      <c r="AM520" s="7" t="s">
        <v>19</v>
      </c>
      <c r="AN520" s="7" t="s">
        <v>20</v>
      </c>
      <c r="AO520" s="31" t="s">
        <v>21</v>
      </c>
      <c r="AP520" s="6"/>
      <c r="AR520" t="s">
        <v>65</v>
      </c>
      <c r="AS520" t="s">
        <v>59</v>
      </c>
      <c r="AT520" t="s">
        <v>60</v>
      </c>
      <c r="AU520" t="s">
        <v>62</v>
      </c>
      <c r="AW520" t="s">
        <v>63</v>
      </c>
      <c r="AX520" s="53"/>
      <c r="AY520" s="53"/>
      <c r="AZ520" s="53"/>
    </row>
    <row r="521" spans="2:52" ht="12.75">
      <c r="B521" s="16" t="s">
        <v>6</v>
      </c>
      <c r="C521">
        <v>27</v>
      </c>
      <c r="G521" s="19">
        <v>0</v>
      </c>
      <c r="H521" s="4">
        <v>0</v>
      </c>
      <c r="I521" s="4">
        <v>0</v>
      </c>
      <c r="J521" s="4">
        <v>0</v>
      </c>
      <c r="K521" s="4">
        <v>0</v>
      </c>
      <c r="L521" s="4">
        <v>0</v>
      </c>
      <c r="M521" s="4">
        <v>0</v>
      </c>
      <c r="N521" s="27">
        <v>0</v>
      </c>
      <c r="O521" s="4">
        <v>0</v>
      </c>
      <c r="P521" s="4">
        <v>6.820283078345215E-05</v>
      </c>
      <c r="Q521" s="4">
        <v>0.07695606089285013</v>
      </c>
      <c r="R521" s="4">
        <v>0</v>
      </c>
      <c r="S521" s="4">
        <v>0</v>
      </c>
      <c r="T521" s="4">
        <v>0</v>
      </c>
      <c r="U521" s="4">
        <v>0</v>
      </c>
      <c r="V521" s="17">
        <v>5.4276376044181505E-05</v>
      </c>
      <c r="W521" s="17">
        <v>0.07707854009967777</v>
      </c>
      <c r="X521" s="18">
        <v>18.65300670412202</v>
      </c>
      <c r="Y521" s="18"/>
      <c r="Z521" s="19">
        <v>0</v>
      </c>
      <c r="AA521" s="4">
        <v>0</v>
      </c>
      <c r="AB521" s="4">
        <v>0</v>
      </c>
      <c r="AC521" s="4">
        <v>0</v>
      </c>
      <c r="AD521" s="4">
        <v>0</v>
      </c>
      <c r="AE521" s="4">
        <v>0</v>
      </c>
      <c r="AF521" s="4">
        <v>0</v>
      </c>
      <c r="AG521" s="4">
        <v>0</v>
      </c>
      <c r="AH521" s="19">
        <v>0</v>
      </c>
      <c r="AI521" s="17">
        <v>1.1924504822225829E-06</v>
      </c>
      <c r="AJ521" s="4">
        <v>0.006455764313646385</v>
      </c>
      <c r="AK521" s="4">
        <v>0</v>
      </c>
      <c r="AL521" s="4">
        <v>0</v>
      </c>
      <c r="AM521" s="4">
        <v>0</v>
      </c>
      <c r="AN521" s="4">
        <v>0</v>
      </c>
      <c r="AO521" s="4">
        <v>3.7411934671536194E-08</v>
      </c>
      <c r="AP521" s="6">
        <v>0.006456994176063279</v>
      </c>
      <c r="AQ521">
        <v>3.7351778287859325</v>
      </c>
      <c r="AR521">
        <v>0</v>
      </c>
      <c r="AS521">
        <v>69.67229708143194</v>
      </c>
      <c r="AT521">
        <v>0</v>
      </c>
      <c r="AU521">
        <v>0</v>
      </c>
      <c r="AV521">
        <v>3.7351778287859325</v>
      </c>
      <c r="AW521">
        <v>1</v>
      </c>
      <c r="AX521" s="53">
        <f>100*(C525+C526+C527+C528+C533+C534+C535+C536)/C537</f>
        <v>10.743801652892563</v>
      </c>
      <c r="AY521" s="53">
        <f>100*(X525+X526+X527+X528+X533+X534+X535+X536)/X537</f>
        <v>11.069843491255442</v>
      </c>
      <c r="AZ521" s="53" t="s">
        <v>93</v>
      </c>
    </row>
    <row r="522" spans="2:52" ht="12.75">
      <c r="B522" s="16" t="s">
        <v>8</v>
      </c>
      <c r="C522">
        <v>5</v>
      </c>
      <c r="G522" s="19">
        <v>0</v>
      </c>
      <c r="H522" s="4">
        <v>0</v>
      </c>
      <c r="I522" s="4">
        <v>0</v>
      </c>
      <c r="J522" s="4">
        <v>0</v>
      </c>
      <c r="K522" s="4">
        <v>0</v>
      </c>
      <c r="L522" s="4">
        <v>0</v>
      </c>
      <c r="M522" s="4">
        <v>0</v>
      </c>
      <c r="N522" s="27">
        <v>0</v>
      </c>
      <c r="O522" s="4">
        <v>0</v>
      </c>
      <c r="P522" s="4">
        <v>0.00032724218579038454</v>
      </c>
      <c r="Q522" s="4">
        <v>0.016038950437148435</v>
      </c>
      <c r="R522" s="4">
        <v>0</v>
      </c>
      <c r="S522" s="4">
        <v>0</v>
      </c>
      <c r="T522" s="4">
        <v>0</v>
      </c>
      <c r="U522" s="4">
        <v>0</v>
      </c>
      <c r="V522" s="17">
        <v>0.00026042203423891087</v>
      </c>
      <c r="W522" s="17">
        <v>0.01662661465717773</v>
      </c>
      <c r="X522" s="18">
        <v>4.02364074703701</v>
      </c>
      <c r="Y522" s="18"/>
      <c r="Z522" s="19">
        <v>0</v>
      </c>
      <c r="AA522" s="4">
        <v>0</v>
      </c>
      <c r="AB522" s="4">
        <v>0</v>
      </c>
      <c r="AC522" s="4">
        <v>0</v>
      </c>
      <c r="AD522" s="4">
        <v>0</v>
      </c>
      <c r="AE522" s="4">
        <v>0</v>
      </c>
      <c r="AF522" s="4">
        <v>0</v>
      </c>
      <c r="AG522" s="4">
        <v>0</v>
      </c>
      <c r="AH522" s="19">
        <v>0</v>
      </c>
      <c r="AI522" s="17">
        <v>2.7452008333517535E-05</v>
      </c>
      <c r="AJ522" s="4">
        <v>0.0002804231725197271</v>
      </c>
      <c r="AK522" s="4">
        <v>0</v>
      </c>
      <c r="AL522" s="4">
        <v>0</v>
      </c>
      <c r="AM522" s="4">
        <v>0</v>
      </c>
      <c r="AN522" s="4">
        <v>0</v>
      </c>
      <c r="AO522" s="4">
        <v>8.612791538829862E-07</v>
      </c>
      <c r="AP522" s="6">
        <v>0.00030873646000712765</v>
      </c>
      <c r="AQ522">
        <v>0.23691911151571773</v>
      </c>
      <c r="AR522">
        <v>0</v>
      </c>
      <c r="AS522">
        <v>0.9532773908464472</v>
      </c>
      <c r="AT522">
        <v>0</v>
      </c>
      <c r="AU522">
        <v>0</v>
      </c>
      <c r="AV522">
        <v>0.23691911151571773</v>
      </c>
      <c r="AW522">
        <v>1</v>
      </c>
      <c r="AX522" s="53">
        <f>100*(C523+C524+C527+C528+C531+C532+C535+C536)/C537</f>
        <v>33.47107438016529</v>
      </c>
      <c r="AY522" s="53">
        <f>100*(X523+X524+X527+X528+X531+X532+X535+X536)/X537</f>
        <v>50.000000000000036</v>
      </c>
      <c r="AZ522" s="53" t="s">
        <v>94</v>
      </c>
    </row>
    <row r="523" spans="2:52" ht="12.75">
      <c r="B523" s="16" t="s">
        <v>9</v>
      </c>
      <c r="C523">
        <v>8</v>
      </c>
      <c r="G523" s="19">
        <v>0</v>
      </c>
      <c r="H523" s="4">
        <v>0</v>
      </c>
      <c r="I523" s="4">
        <v>0</v>
      </c>
      <c r="J523" s="4">
        <v>0</v>
      </c>
      <c r="K523" s="4">
        <v>0</v>
      </c>
      <c r="L523" s="4">
        <v>0</v>
      </c>
      <c r="M523" s="4">
        <v>0</v>
      </c>
      <c r="N523" s="27">
        <v>0</v>
      </c>
      <c r="O523" s="4">
        <v>0</v>
      </c>
      <c r="P523" s="4">
        <v>6.820283078345215E-05</v>
      </c>
      <c r="Q523" s="4">
        <v>0.07695606089285013</v>
      </c>
      <c r="R523" s="4">
        <v>0</v>
      </c>
      <c r="S523" s="4">
        <v>0</v>
      </c>
      <c r="T523" s="4">
        <v>0</v>
      </c>
      <c r="U523" s="4">
        <v>0</v>
      </c>
      <c r="V523" s="17">
        <v>5.4276376044181505E-05</v>
      </c>
      <c r="W523" s="17">
        <v>0.07707854009967777</v>
      </c>
      <c r="X523" s="18">
        <v>18.65300670412202</v>
      </c>
      <c r="Y523" s="18"/>
      <c r="Z523" s="19">
        <v>0</v>
      </c>
      <c r="AA523" s="4">
        <v>0</v>
      </c>
      <c r="AB523" s="4">
        <v>0</v>
      </c>
      <c r="AC523" s="4">
        <v>0</v>
      </c>
      <c r="AD523" s="4">
        <v>0</v>
      </c>
      <c r="AE523" s="4">
        <v>0</v>
      </c>
      <c r="AF523" s="4">
        <v>0</v>
      </c>
      <c r="AG523" s="4">
        <v>0</v>
      </c>
      <c r="AH523" s="19">
        <v>0</v>
      </c>
      <c r="AI523" s="17">
        <v>1.1924504822225829E-06</v>
      </c>
      <c r="AJ523" s="4">
        <v>0.006455764313646385</v>
      </c>
      <c r="AK523" s="4">
        <v>0</v>
      </c>
      <c r="AL523" s="4">
        <v>0</v>
      </c>
      <c r="AM523" s="4">
        <v>0</v>
      </c>
      <c r="AN523" s="4">
        <v>0</v>
      </c>
      <c r="AO523" s="4">
        <v>3.7411934671536194E-08</v>
      </c>
      <c r="AP523" s="6">
        <v>0.006456994176063279</v>
      </c>
      <c r="AQ523">
        <v>6.084088942775643</v>
      </c>
      <c r="AR523">
        <v>0</v>
      </c>
      <c r="AS523">
        <v>113.48655183806872</v>
      </c>
      <c r="AT523">
        <v>0</v>
      </c>
      <c r="AU523">
        <v>0</v>
      </c>
      <c r="AV523">
        <v>6.084088942775643</v>
      </c>
      <c r="AW523">
        <v>1</v>
      </c>
      <c r="AX523" s="53">
        <f>100*(C522+C524+C526+C528+C530+C532+C534+C536)/C537</f>
        <v>22.31404958677686</v>
      </c>
      <c r="AY523" s="53">
        <f>100*(X522+X524+X526+X528+X530+X532+X534+X536)/X537</f>
        <v>22.66075639282738</v>
      </c>
      <c r="AZ523" s="53" t="s">
        <v>95</v>
      </c>
    </row>
    <row r="524" spans="2:52" ht="12.75">
      <c r="B524" s="16" t="s">
        <v>10</v>
      </c>
      <c r="C524">
        <v>4</v>
      </c>
      <c r="G524" s="19">
        <v>0</v>
      </c>
      <c r="H524" s="4">
        <v>0</v>
      </c>
      <c r="I524" s="4">
        <v>0</v>
      </c>
      <c r="J524" s="4">
        <v>0</v>
      </c>
      <c r="K524" s="4">
        <v>0</v>
      </c>
      <c r="L524" s="4">
        <v>0</v>
      </c>
      <c r="M524" s="4">
        <v>0</v>
      </c>
      <c r="N524" s="27">
        <v>0</v>
      </c>
      <c r="O524" s="4">
        <v>0</v>
      </c>
      <c r="P524" s="4">
        <v>0.00032724218579038454</v>
      </c>
      <c r="Q524" s="4">
        <v>0.016038950437148435</v>
      </c>
      <c r="R524" s="4">
        <v>0</v>
      </c>
      <c r="S524" s="4">
        <v>0</v>
      </c>
      <c r="T524" s="4">
        <v>0</v>
      </c>
      <c r="U524" s="4">
        <v>0</v>
      </c>
      <c r="V524" s="17">
        <v>0.00026042203423891087</v>
      </c>
      <c r="W524" s="17">
        <v>0.01662661465717773</v>
      </c>
      <c r="X524" s="18">
        <v>4.02364074703701</v>
      </c>
      <c r="Y524" s="18"/>
      <c r="Z524" s="19">
        <v>0</v>
      </c>
      <c r="AA524" s="4">
        <v>0</v>
      </c>
      <c r="AB524" s="4">
        <v>0</v>
      </c>
      <c r="AC524" s="4">
        <v>0</v>
      </c>
      <c r="AD524" s="4">
        <v>0</v>
      </c>
      <c r="AE524" s="4">
        <v>0</v>
      </c>
      <c r="AF524" s="4">
        <v>0</v>
      </c>
      <c r="AG524" s="4">
        <v>0</v>
      </c>
      <c r="AH524" s="19">
        <v>0</v>
      </c>
      <c r="AI524" s="17">
        <v>2.7452008333517535E-05</v>
      </c>
      <c r="AJ524" s="4">
        <v>0.0002804231725197271</v>
      </c>
      <c r="AK524" s="4">
        <v>0</v>
      </c>
      <c r="AL524" s="4">
        <v>0</v>
      </c>
      <c r="AM524" s="4">
        <v>0</v>
      </c>
      <c r="AN524" s="4">
        <v>0</v>
      </c>
      <c r="AO524" s="4">
        <v>8.612791538829862E-07</v>
      </c>
      <c r="AP524" s="6">
        <v>0.00030873646000712765</v>
      </c>
      <c r="AQ524">
        <v>0.0001389003033830677</v>
      </c>
      <c r="AR524">
        <v>0</v>
      </c>
      <c r="AS524">
        <v>0.000558884920467914</v>
      </c>
      <c r="AT524">
        <v>0</v>
      </c>
      <c r="AU524">
        <v>0</v>
      </c>
      <c r="AV524">
        <v>0.0001389003033830677</v>
      </c>
      <c r="AW524">
        <v>1</v>
      </c>
      <c r="AX524" s="53">
        <f>100*(C529+C530+C531+C532+C533+C534+C535+C536)/C537</f>
        <v>78.51239669421487</v>
      </c>
      <c r="AY524" s="53">
        <f>100*(X529+X530+X531+X532+X533+X534+X535+X536)/X537</f>
        <v>78.92612395264565</v>
      </c>
      <c r="AZ524" s="53" t="s">
        <v>96</v>
      </c>
    </row>
    <row r="525" spans="2:49" ht="12.75">
      <c r="B525" s="3" t="s">
        <v>11</v>
      </c>
      <c r="C525">
        <v>0</v>
      </c>
      <c r="G525" s="19">
        <v>0</v>
      </c>
      <c r="H525" s="4">
        <v>0</v>
      </c>
      <c r="I525" s="4">
        <v>0</v>
      </c>
      <c r="J525" s="4">
        <v>0</v>
      </c>
      <c r="K525" s="4">
        <v>0</v>
      </c>
      <c r="L525" s="4">
        <v>0</v>
      </c>
      <c r="M525" s="4">
        <v>0</v>
      </c>
      <c r="N525" s="27">
        <v>0</v>
      </c>
      <c r="O525" s="4">
        <v>0</v>
      </c>
      <c r="P525" s="4">
        <v>2.6888326446973726E-06</v>
      </c>
      <c r="Q525" s="4">
        <v>0.003033920533196096</v>
      </c>
      <c r="R525" s="4">
        <v>0</v>
      </c>
      <c r="S525" s="4">
        <v>0</v>
      </c>
      <c r="T525" s="4">
        <v>0</v>
      </c>
      <c r="U525" s="4">
        <v>0</v>
      </c>
      <c r="V525" s="17">
        <v>0.0013767322031665397</v>
      </c>
      <c r="W525" s="17">
        <v>0.004413341569007333</v>
      </c>
      <c r="X525" s="18">
        <v>1.0680286596997746</v>
      </c>
      <c r="Y525" s="18"/>
      <c r="Z525" s="19">
        <v>0</v>
      </c>
      <c r="AA525" s="4">
        <v>0</v>
      </c>
      <c r="AB525" s="4">
        <v>0</v>
      </c>
      <c r="AC525" s="4">
        <v>0</v>
      </c>
      <c r="AD525" s="4">
        <v>0</v>
      </c>
      <c r="AE525" s="4">
        <v>0</v>
      </c>
      <c r="AF525" s="4">
        <v>0</v>
      </c>
      <c r="AG525" s="4">
        <v>0</v>
      </c>
      <c r="AH525" s="19">
        <v>0</v>
      </c>
      <c r="AI525" s="17">
        <v>1.8533741302887859E-09</v>
      </c>
      <c r="AJ525" s="4">
        <v>1.003391482374391E-05</v>
      </c>
      <c r="AK525" s="4">
        <v>0</v>
      </c>
      <c r="AL525" s="4">
        <v>0</v>
      </c>
      <c r="AM525" s="4">
        <v>0</v>
      </c>
      <c r="AN525" s="4">
        <v>0</v>
      </c>
      <c r="AO525" s="4">
        <v>2.4070628164536776E-05</v>
      </c>
      <c r="AP525" s="6">
        <v>3.410639636241098E-05</v>
      </c>
      <c r="AQ525">
        <v>1.0680286596997746</v>
      </c>
      <c r="AR525">
        <v>1</v>
      </c>
      <c r="AS525">
        <v>1.1406852179400968</v>
      </c>
      <c r="AT525">
        <v>1.0680286596997746</v>
      </c>
      <c r="AU525">
        <v>0</v>
      </c>
      <c r="AV525">
        <v>0</v>
      </c>
      <c r="AW525">
        <v>0</v>
      </c>
    </row>
    <row r="526" spans="1:52" ht="12.75">
      <c r="A526" s="15"/>
      <c r="B526" s="16" t="s">
        <v>12</v>
      </c>
      <c r="C526">
        <v>3</v>
      </c>
      <c r="G526" s="19">
        <v>0</v>
      </c>
      <c r="H526" s="17">
        <v>0</v>
      </c>
      <c r="I526" s="17">
        <v>0</v>
      </c>
      <c r="J526" s="17">
        <v>0</v>
      </c>
      <c r="K526" s="17">
        <v>0</v>
      </c>
      <c r="L526" s="17">
        <v>0</v>
      </c>
      <c r="M526" s="17">
        <v>0</v>
      </c>
      <c r="N526" s="27">
        <v>0</v>
      </c>
      <c r="O526" s="17">
        <v>0</v>
      </c>
      <c r="P526" s="17">
        <v>1.2901216295098356E-05</v>
      </c>
      <c r="Q526" s="17">
        <v>0.000632320580050637</v>
      </c>
      <c r="R526" s="17">
        <v>0</v>
      </c>
      <c r="S526" s="17">
        <v>0</v>
      </c>
      <c r="T526" s="17">
        <v>0</v>
      </c>
      <c r="U526" s="17">
        <v>0</v>
      </c>
      <c r="V526" s="17">
        <v>0.006605662114563428</v>
      </c>
      <c r="W526" s="17">
        <v>0.007250883910909164</v>
      </c>
      <c r="X526" s="18">
        <v>1.7547139064400177</v>
      </c>
      <c r="Y526" s="18"/>
      <c r="Z526" s="19">
        <v>0</v>
      </c>
      <c r="AA526" s="4">
        <v>0</v>
      </c>
      <c r="AB526" s="4">
        <v>0</v>
      </c>
      <c r="AC526" s="17">
        <v>0</v>
      </c>
      <c r="AD526" s="17">
        <v>0</v>
      </c>
      <c r="AE526" s="17">
        <v>0</v>
      </c>
      <c r="AF526" s="17">
        <v>0</v>
      </c>
      <c r="AG526" s="17">
        <v>0</v>
      </c>
      <c r="AH526" s="19">
        <v>0</v>
      </c>
      <c r="AI526" s="17">
        <v>4.266746739452155E-08</v>
      </c>
      <c r="AJ526" s="17">
        <v>4.358495897564312E-07</v>
      </c>
      <c r="AK526" s="17">
        <v>0</v>
      </c>
      <c r="AL526" s="17">
        <v>0</v>
      </c>
      <c r="AM526" s="17">
        <v>0</v>
      </c>
      <c r="AN526" s="17">
        <v>0</v>
      </c>
      <c r="AO526" s="17">
        <v>0.0005541421592066771</v>
      </c>
      <c r="AP526" s="6">
        <v>0.0005546206762638281</v>
      </c>
      <c r="AQ526">
        <v>0.8837551518355683</v>
      </c>
      <c r="AR526">
        <v>1</v>
      </c>
      <c r="AS526">
        <v>1.550737454813881</v>
      </c>
      <c r="AT526">
        <v>1.7547139064400177</v>
      </c>
      <c r="AU526">
        <v>3</v>
      </c>
      <c r="AV526">
        <v>0</v>
      </c>
      <c r="AW526">
        <v>0</v>
      </c>
      <c r="AX526" s="15"/>
      <c r="AY526" s="15"/>
      <c r="AZ526" s="15"/>
    </row>
    <row r="527" spans="1:52" ht="12.75">
      <c r="A527" s="15"/>
      <c r="B527" s="16" t="s">
        <v>13</v>
      </c>
      <c r="C527">
        <v>3</v>
      </c>
      <c r="G527" s="19">
        <v>0</v>
      </c>
      <c r="H527" s="17">
        <v>0</v>
      </c>
      <c r="I527" s="17">
        <v>0</v>
      </c>
      <c r="J527" s="17">
        <v>0</v>
      </c>
      <c r="K527" s="17">
        <v>0</v>
      </c>
      <c r="L527" s="17">
        <v>0</v>
      </c>
      <c r="M527" s="17">
        <v>0</v>
      </c>
      <c r="N527" s="27">
        <v>0</v>
      </c>
      <c r="O527" s="17">
        <v>0</v>
      </c>
      <c r="P527" s="17">
        <v>2.6888326446973726E-06</v>
      </c>
      <c r="Q527" s="17">
        <v>0.003033920533196096</v>
      </c>
      <c r="R527" s="17">
        <v>0</v>
      </c>
      <c r="S527" s="17">
        <v>0</v>
      </c>
      <c r="T527" s="17">
        <v>0</v>
      </c>
      <c r="U527" s="17">
        <v>0</v>
      </c>
      <c r="V527" s="17">
        <v>0.0013767322031665397</v>
      </c>
      <c r="W527" s="17">
        <v>0.004413341569007333</v>
      </c>
      <c r="X527" s="18">
        <v>1.0680286596997746</v>
      </c>
      <c r="Y527" s="18"/>
      <c r="Z527" s="19">
        <v>0</v>
      </c>
      <c r="AA527" s="4">
        <v>0</v>
      </c>
      <c r="AB527" s="4">
        <v>0</v>
      </c>
      <c r="AC527" s="17">
        <v>0</v>
      </c>
      <c r="AD527" s="17">
        <v>0</v>
      </c>
      <c r="AE527" s="17">
        <v>0</v>
      </c>
      <c r="AF527" s="17">
        <v>0</v>
      </c>
      <c r="AG527" s="17">
        <v>0</v>
      </c>
      <c r="AH527" s="19">
        <v>0</v>
      </c>
      <c r="AI527" s="17">
        <v>1.8533741302887859E-09</v>
      </c>
      <c r="AJ527" s="17">
        <v>1.003391482374391E-05</v>
      </c>
      <c r="AK527" s="17">
        <v>0</v>
      </c>
      <c r="AL527" s="17">
        <v>0</v>
      </c>
      <c r="AM527" s="17">
        <v>0</v>
      </c>
      <c r="AN527" s="17">
        <v>0</v>
      </c>
      <c r="AO527" s="17">
        <v>2.4070628164536776E-05</v>
      </c>
      <c r="AP527" s="6">
        <v>3.410639636241098E-05</v>
      </c>
      <c r="AQ527">
        <v>3.4947688208953758</v>
      </c>
      <c r="AR527">
        <v>1</v>
      </c>
      <c r="AS527">
        <v>3.7325132597414497</v>
      </c>
      <c r="AT527">
        <v>1.0680286596997746</v>
      </c>
      <c r="AU527">
        <v>3</v>
      </c>
      <c r="AV527">
        <v>0</v>
      </c>
      <c r="AW527">
        <v>0</v>
      </c>
      <c r="AX527" s="15"/>
      <c r="AY527" s="15"/>
      <c r="AZ527" s="15"/>
    </row>
    <row r="528" spans="1:52" ht="13.5" thickBot="1">
      <c r="A528" s="11" t="s">
        <v>4</v>
      </c>
      <c r="B528" s="12" t="s">
        <v>14</v>
      </c>
      <c r="C528">
        <v>2</v>
      </c>
      <c r="G528" s="20">
        <v>0</v>
      </c>
      <c r="H528" s="13">
        <v>0</v>
      </c>
      <c r="I528" s="13">
        <v>0</v>
      </c>
      <c r="J528" s="13">
        <v>0</v>
      </c>
      <c r="K528" s="13">
        <v>0</v>
      </c>
      <c r="L528" s="13">
        <v>0</v>
      </c>
      <c r="M528" s="13">
        <v>0</v>
      </c>
      <c r="N528" s="28">
        <v>0</v>
      </c>
      <c r="O528" s="13">
        <v>0</v>
      </c>
      <c r="P528" s="13">
        <v>1.2901216295098356E-05</v>
      </c>
      <c r="Q528" s="13">
        <v>0.000632320580050637</v>
      </c>
      <c r="R528" s="13">
        <v>0</v>
      </c>
      <c r="S528" s="13">
        <v>0</v>
      </c>
      <c r="T528" s="13">
        <v>0</v>
      </c>
      <c r="U528" s="13">
        <v>0</v>
      </c>
      <c r="V528" s="13">
        <v>0.006605662114563428</v>
      </c>
      <c r="W528" s="13">
        <v>0.007250883910909164</v>
      </c>
      <c r="X528" s="14">
        <v>1.7547139064400177</v>
      </c>
      <c r="Y528" s="14"/>
      <c r="Z528" s="20">
        <v>0</v>
      </c>
      <c r="AA528" s="13">
        <v>0</v>
      </c>
      <c r="AB528" s="13">
        <v>0</v>
      </c>
      <c r="AC528" s="13">
        <v>0</v>
      </c>
      <c r="AD528" s="13">
        <v>0</v>
      </c>
      <c r="AE528" s="13">
        <v>0</v>
      </c>
      <c r="AF528" s="13">
        <v>0</v>
      </c>
      <c r="AG528" s="13">
        <v>0</v>
      </c>
      <c r="AH528" s="20">
        <v>0</v>
      </c>
      <c r="AI528" s="13">
        <v>4.266746739452155E-08</v>
      </c>
      <c r="AJ528" s="13">
        <v>4.358495897564312E-07</v>
      </c>
      <c r="AK528" s="13">
        <v>0</v>
      </c>
      <c r="AL528" s="13">
        <v>0</v>
      </c>
      <c r="AM528" s="13">
        <v>0</v>
      </c>
      <c r="AN528" s="13">
        <v>0</v>
      </c>
      <c r="AO528" s="13">
        <v>0.0005541421592066771</v>
      </c>
      <c r="AP528" s="6">
        <v>0.0005546206762638281</v>
      </c>
      <c r="AQ528">
        <v>0.03428779328248463</v>
      </c>
      <c r="AR528">
        <v>1</v>
      </c>
      <c r="AS528">
        <v>0.0601652676939164</v>
      </c>
      <c r="AT528">
        <v>1.7547139064400177</v>
      </c>
      <c r="AU528">
        <v>2</v>
      </c>
      <c r="AV528">
        <v>0</v>
      </c>
      <c r="AW528">
        <v>0</v>
      </c>
      <c r="AX528" s="11"/>
      <c r="AY528" s="11"/>
      <c r="AZ528" s="11"/>
    </row>
    <row r="529" spans="2:49" ht="12.75">
      <c r="B529" s="3" t="s">
        <v>7</v>
      </c>
      <c r="C529">
        <v>99</v>
      </c>
      <c r="G529" s="19">
        <v>0</v>
      </c>
      <c r="H529" s="4">
        <v>0</v>
      </c>
      <c r="I529" s="4">
        <v>0</v>
      </c>
      <c r="J529" s="4">
        <v>0</v>
      </c>
      <c r="K529" s="4">
        <v>0</v>
      </c>
      <c r="L529" s="4">
        <v>0</v>
      </c>
      <c r="M529" s="4">
        <v>0</v>
      </c>
      <c r="N529" s="27">
        <v>0</v>
      </c>
      <c r="O529" s="4">
        <v>0</v>
      </c>
      <c r="P529" s="4">
        <v>0.0002554340295178797</v>
      </c>
      <c r="Q529" s="4">
        <v>0.28821672801377907</v>
      </c>
      <c r="R529" s="4">
        <v>0</v>
      </c>
      <c r="S529" s="4">
        <v>0</v>
      </c>
      <c r="T529" s="4">
        <v>0</v>
      </c>
      <c r="U529" s="4">
        <v>0</v>
      </c>
      <c r="V529" s="17">
        <v>0.0002032765103931256</v>
      </c>
      <c r="W529" s="17">
        <v>0.2886754385536901</v>
      </c>
      <c r="X529" s="18">
        <v>69.859456129993</v>
      </c>
      <c r="Y529" s="18"/>
      <c r="Z529" s="19">
        <v>0</v>
      </c>
      <c r="AA529" s="4">
        <v>0</v>
      </c>
      <c r="AB529" s="19">
        <v>0</v>
      </c>
      <c r="AC529" s="4">
        <v>0</v>
      </c>
      <c r="AD529" s="4">
        <v>0</v>
      </c>
      <c r="AE529" s="4">
        <v>0</v>
      </c>
      <c r="AF529" s="4">
        <v>0</v>
      </c>
      <c r="AG529" s="4">
        <v>0</v>
      </c>
      <c r="AH529" s="19">
        <v>0</v>
      </c>
      <c r="AI529" s="17">
        <v>1.6726037317095122E-05</v>
      </c>
      <c r="AJ529" s="4">
        <v>0.09055248534862428</v>
      </c>
      <c r="AK529" s="4">
        <v>0</v>
      </c>
      <c r="AL529" s="4">
        <v>0</v>
      </c>
      <c r="AM529" s="4">
        <v>0</v>
      </c>
      <c r="AN529" s="4">
        <v>0</v>
      </c>
      <c r="AO529" s="4">
        <v>5.247625999987107E-07</v>
      </c>
      <c r="AP529" s="6">
        <v>0.09056973614854137</v>
      </c>
      <c r="AQ529">
        <v>12.155423819213281</v>
      </c>
      <c r="AR529">
        <v>0</v>
      </c>
      <c r="AS529">
        <v>849.1712970398022</v>
      </c>
      <c r="AT529">
        <v>0</v>
      </c>
      <c r="AU529">
        <v>0</v>
      </c>
      <c r="AV529">
        <v>12.155423819213281</v>
      </c>
      <c r="AW529">
        <v>1</v>
      </c>
    </row>
    <row r="530" spans="2:49" ht="12.75">
      <c r="B530" s="3" t="s">
        <v>15</v>
      </c>
      <c r="C530">
        <v>21</v>
      </c>
      <c r="G530" s="19">
        <v>0</v>
      </c>
      <c r="H530" s="4">
        <v>0</v>
      </c>
      <c r="I530" s="4">
        <v>0</v>
      </c>
      <c r="J530" s="4">
        <v>0</v>
      </c>
      <c r="K530" s="4">
        <v>0</v>
      </c>
      <c r="L530" s="4">
        <v>0</v>
      </c>
      <c r="M530" s="4">
        <v>0</v>
      </c>
      <c r="N530" s="27">
        <v>0</v>
      </c>
      <c r="O530" s="4">
        <v>0</v>
      </c>
      <c r="P530" s="4">
        <v>0.0012255912135095345</v>
      </c>
      <c r="Q530" s="4">
        <v>0.06006926240944825</v>
      </c>
      <c r="R530" s="4">
        <v>0</v>
      </c>
      <c r="S530" s="4">
        <v>0</v>
      </c>
      <c r="T530" s="4">
        <v>0</v>
      </c>
      <c r="U530" s="4">
        <v>0</v>
      </c>
      <c r="V530" s="17">
        <v>0.0009753356102196852</v>
      </c>
      <c r="W530" s="17">
        <v>0.062270189233177474</v>
      </c>
      <c r="X530" s="18">
        <v>15.069385794428948</v>
      </c>
      <c r="Y530" s="18"/>
      <c r="Z530" s="19">
        <v>0</v>
      </c>
      <c r="AA530" s="4">
        <v>0</v>
      </c>
      <c r="AB530" s="19">
        <v>0</v>
      </c>
      <c r="AC530" s="4">
        <v>0</v>
      </c>
      <c r="AD530" s="4">
        <v>0</v>
      </c>
      <c r="AE530" s="4">
        <v>0</v>
      </c>
      <c r="AF530" s="4">
        <v>0</v>
      </c>
      <c r="AG530" s="4">
        <v>0</v>
      </c>
      <c r="AH530" s="19">
        <v>0</v>
      </c>
      <c r="AI530" s="17">
        <v>0.00038505860214823836</v>
      </c>
      <c r="AJ530" s="4">
        <v>0.003933386348589403</v>
      </c>
      <c r="AK530" s="4">
        <v>0</v>
      </c>
      <c r="AL530" s="4">
        <v>0</v>
      </c>
      <c r="AM530" s="4">
        <v>0</v>
      </c>
      <c r="AN530" s="4">
        <v>0</v>
      </c>
      <c r="AO530" s="4">
        <v>1.2080826401640007E-05</v>
      </c>
      <c r="AP530" s="6">
        <v>0.004330525777139281</v>
      </c>
      <c r="AQ530">
        <v>2.334015820891923</v>
      </c>
      <c r="AR530">
        <v>0</v>
      </c>
      <c r="AS530">
        <v>35.17218485532116</v>
      </c>
      <c r="AT530">
        <v>0</v>
      </c>
      <c r="AU530">
        <v>0</v>
      </c>
      <c r="AV530">
        <v>2.334015820891923</v>
      </c>
      <c r="AW530">
        <v>1</v>
      </c>
    </row>
    <row r="531" spans="2:49" ht="12.75">
      <c r="B531" s="3" t="s">
        <v>16</v>
      </c>
      <c r="C531">
        <v>44</v>
      </c>
      <c r="G531" s="19">
        <v>0</v>
      </c>
      <c r="H531" s="4">
        <v>0</v>
      </c>
      <c r="I531" s="4">
        <v>0</v>
      </c>
      <c r="J531" s="4">
        <v>0</v>
      </c>
      <c r="K531" s="4">
        <v>0</v>
      </c>
      <c r="L531" s="4">
        <v>0</v>
      </c>
      <c r="M531" s="4">
        <v>0</v>
      </c>
      <c r="N531" s="27">
        <v>0</v>
      </c>
      <c r="O531" s="4">
        <v>0</v>
      </c>
      <c r="P531" s="4">
        <v>0.0002554340295178797</v>
      </c>
      <c r="Q531" s="4">
        <v>0.28821672801377907</v>
      </c>
      <c r="R531" s="4">
        <v>0</v>
      </c>
      <c r="S531" s="4">
        <v>0</v>
      </c>
      <c r="T531" s="4">
        <v>0</v>
      </c>
      <c r="U531" s="4">
        <v>0</v>
      </c>
      <c r="V531" s="17">
        <v>0.0002032765103931256</v>
      </c>
      <c r="W531" s="17">
        <v>0.2886754385536901</v>
      </c>
      <c r="X531" s="18">
        <v>69.859456129993</v>
      </c>
      <c r="Y531" s="18"/>
      <c r="Z531" s="19">
        <v>0</v>
      </c>
      <c r="AA531" s="4">
        <v>0</v>
      </c>
      <c r="AB531" s="19">
        <v>0</v>
      </c>
      <c r="AC531" s="4">
        <v>0</v>
      </c>
      <c r="AD531" s="4">
        <v>0</v>
      </c>
      <c r="AE531" s="4">
        <v>0</v>
      </c>
      <c r="AF531" s="4">
        <v>0</v>
      </c>
      <c r="AG531" s="4">
        <v>0</v>
      </c>
      <c r="AH531" s="19">
        <v>0</v>
      </c>
      <c r="AI531" s="17">
        <v>1.6726037317095122E-05</v>
      </c>
      <c r="AJ531" s="4">
        <v>0.09055248534862428</v>
      </c>
      <c r="AK531" s="4">
        <v>0</v>
      </c>
      <c r="AL531" s="4">
        <v>0</v>
      </c>
      <c r="AM531" s="4">
        <v>0</v>
      </c>
      <c r="AN531" s="4">
        <v>0</v>
      </c>
      <c r="AO531" s="4">
        <v>5.247625999987107E-07</v>
      </c>
      <c r="AP531" s="6">
        <v>0.09056973614854137</v>
      </c>
      <c r="AQ531">
        <v>9.572239871073554</v>
      </c>
      <c r="AR531">
        <v>0</v>
      </c>
      <c r="AS531">
        <v>668.7114713390329</v>
      </c>
      <c r="AT531">
        <v>0</v>
      </c>
      <c r="AU531">
        <v>0</v>
      </c>
      <c r="AV531">
        <v>9.572239871073554</v>
      </c>
      <c r="AW531">
        <v>1</v>
      </c>
    </row>
    <row r="532" spans="2:49" ht="12.75">
      <c r="B532" s="3" t="s">
        <v>17</v>
      </c>
      <c r="C532">
        <v>8</v>
      </c>
      <c r="G532" s="19">
        <v>0</v>
      </c>
      <c r="H532" s="4">
        <v>0</v>
      </c>
      <c r="I532" s="4">
        <v>0</v>
      </c>
      <c r="J532" s="4">
        <v>0</v>
      </c>
      <c r="K532" s="4">
        <v>0</v>
      </c>
      <c r="L532" s="4">
        <v>0</v>
      </c>
      <c r="M532" s="4">
        <v>0</v>
      </c>
      <c r="N532" s="27">
        <v>0</v>
      </c>
      <c r="O532" s="4">
        <v>0</v>
      </c>
      <c r="P532" s="4">
        <v>0.0012255912135095345</v>
      </c>
      <c r="Q532" s="4">
        <v>0.06006926240944825</v>
      </c>
      <c r="R532" s="4">
        <v>0</v>
      </c>
      <c r="S532" s="4">
        <v>0</v>
      </c>
      <c r="T532" s="4">
        <v>0</v>
      </c>
      <c r="U532" s="4">
        <v>0</v>
      </c>
      <c r="V532" s="17">
        <v>0.0009753356102196852</v>
      </c>
      <c r="W532" s="17">
        <v>0.062270189233177474</v>
      </c>
      <c r="X532" s="18">
        <v>15.069385794428948</v>
      </c>
      <c r="Y532" s="18"/>
      <c r="Z532" s="19">
        <v>0</v>
      </c>
      <c r="AA532" s="4">
        <v>0</v>
      </c>
      <c r="AB532" s="19">
        <v>0</v>
      </c>
      <c r="AC532" s="4">
        <v>0</v>
      </c>
      <c r="AD532" s="4">
        <v>0</v>
      </c>
      <c r="AE532" s="4">
        <v>0</v>
      </c>
      <c r="AF532" s="4">
        <v>0</v>
      </c>
      <c r="AG532" s="4">
        <v>0</v>
      </c>
      <c r="AH532" s="19">
        <v>0</v>
      </c>
      <c r="AI532" s="17">
        <v>0.00038505860214823836</v>
      </c>
      <c r="AJ532" s="4">
        <v>0.003933386348589403</v>
      </c>
      <c r="AK532" s="4">
        <v>0</v>
      </c>
      <c r="AL532" s="4">
        <v>0</v>
      </c>
      <c r="AM532" s="4">
        <v>0</v>
      </c>
      <c r="AN532" s="4">
        <v>0</v>
      </c>
      <c r="AO532" s="4">
        <v>1.2080826401640007E-05</v>
      </c>
      <c r="AP532" s="6">
        <v>0.004330525777139281</v>
      </c>
      <c r="AQ532">
        <v>3.3164069320562275</v>
      </c>
      <c r="AR532">
        <v>0</v>
      </c>
      <c r="AS532">
        <v>49.97621551047381</v>
      </c>
      <c r="AT532">
        <v>0</v>
      </c>
      <c r="AU532">
        <v>0</v>
      </c>
      <c r="AV532">
        <v>3.3164069320562275</v>
      </c>
      <c r="AW532">
        <v>1</v>
      </c>
    </row>
    <row r="533" spans="2:49" ht="12.75">
      <c r="B533" s="3" t="s">
        <v>18</v>
      </c>
      <c r="C533">
        <v>5</v>
      </c>
      <c r="G533" s="19">
        <v>0</v>
      </c>
      <c r="H533" s="4">
        <v>0</v>
      </c>
      <c r="I533" s="4">
        <v>0</v>
      </c>
      <c r="J533" s="4">
        <v>0</v>
      </c>
      <c r="K533" s="4">
        <v>0</v>
      </c>
      <c r="L533" s="4">
        <v>0</v>
      </c>
      <c r="M533" s="4">
        <v>0</v>
      </c>
      <c r="N533" s="27">
        <v>0</v>
      </c>
      <c r="O533" s="4">
        <v>0</v>
      </c>
      <c r="P533" s="4">
        <v>1.0070247073980807E-05</v>
      </c>
      <c r="Q533" s="4">
        <v>0.011362674219371854</v>
      </c>
      <c r="R533" s="4">
        <v>0</v>
      </c>
      <c r="S533" s="4">
        <v>0</v>
      </c>
      <c r="T533" s="4">
        <v>0</v>
      </c>
      <c r="U533" s="4">
        <v>0</v>
      </c>
      <c r="V533" s="17">
        <v>0.005156153347042315</v>
      </c>
      <c r="W533" s="17">
        <v>0.01652889781348815</v>
      </c>
      <c r="X533" s="18">
        <v>3.999993270864132</v>
      </c>
      <c r="Y533" s="18"/>
      <c r="Z533" s="19">
        <v>0</v>
      </c>
      <c r="AA533" s="4">
        <v>0</v>
      </c>
      <c r="AB533" s="19">
        <v>0</v>
      </c>
      <c r="AC533" s="4">
        <v>0</v>
      </c>
      <c r="AD533" s="4">
        <v>0</v>
      </c>
      <c r="AE533" s="4">
        <v>0</v>
      </c>
      <c r="AF533" s="4">
        <v>0</v>
      </c>
      <c r="AG533" s="4">
        <v>0</v>
      </c>
      <c r="AH533" s="19">
        <v>0</v>
      </c>
      <c r="AI533" s="17">
        <v>2.599655526824849E-08</v>
      </c>
      <c r="AJ533" s="4">
        <v>0.0001407418054506416</v>
      </c>
      <c r="AK533" s="4">
        <v>0</v>
      </c>
      <c r="AL533" s="4">
        <v>0</v>
      </c>
      <c r="AM533" s="4">
        <v>0</v>
      </c>
      <c r="AN533" s="4">
        <v>0</v>
      </c>
      <c r="AO533" s="4">
        <v>0.00033762930279130233</v>
      </c>
      <c r="AP533" s="6">
        <v>0.0004783971047972122</v>
      </c>
      <c r="AQ533">
        <v>0.2500037851566138</v>
      </c>
      <c r="AR533">
        <v>1</v>
      </c>
      <c r="AS533">
        <v>1.0000134583170175</v>
      </c>
      <c r="AT533">
        <v>3.999993270864132</v>
      </c>
      <c r="AU533">
        <v>5</v>
      </c>
      <c r="AV533">
        <v>0</v>
      </c>
      <c r="AW533">
        <v>0</v>
      </c>
    </row>
    <row r="534" spans="2:49" ht="12.75">
      <c r="B534" s="16" t="s">
        <v>19</v>
      </c>
      <c r="C534">
        <v>1</v>
      </c>
      <c r="G534" s="19">
        <v>0</v>
      </c>
      <c r="H534" s="4">
        <v>0</v>
      </c>
      <c r="I534" s="4">
        <v>0</v>
      </c>
      <c r="J534" s="4">
        <v>0</v>
      </c>
      <c r="K534" s="4">
        <v>0</v>
      </c>
      <c r="L534" s="4">
        <v>0</v>
      </c>
      <c r="M534" s="4">
        <v>0</v>
      </c>
      <c r="N534" s="27">
        <v>0</v>
      </c>
      <c r="O534" s="4">
        <v>0</v>
      </c>
      <c r="P534" s="4">
        <v>4.831778426326344E-05</v>
      </c>
      <c r="Q534" s="4">
        <v>0.002368174339012999</v>
      </c>
      <c r="R534" s="4">
        <v>0</v>
      </c>
      <c r="S534" s="4">
        <v>0</v>
      </c>
      <c r="T534" s="4">
        <v>0</v>
      </c>
      <c r="U534" s="4">
        <v>0</v>
      </c>
      <c r="V534" s="17">
        <v>0.0247396020395963</v>
      </c>
      <c r="W534" s="17">
        <v>0.027156094162872565</v>
      </c>
      <c r="X534" s="18">
        <v>6.571774787415161</v>
      </c>
      <c r="Y534" s="18"/>
      <c r="Z534" s="19">
        <v>0</v>
      </c>
      <c r="AA534" s="4">
        <v>0</v>
      </c>
      <c r="AB534" s="19">
        <v>0</v>
      </c>
      <c r="AC534" s="4">
        <v>0</v>
      </c>
      <c r="AD534" s="4">
        <v>0</v>
      </c>
      <c r="AE534" s="4">
        <v>0</v>
      </c>
      <c r="AF534" s="4">
        <v>0</v>
      </c>
      <c r="AG534" s="4">
        <v>0</v>
      </c>
      <c r="AH534" s="19">
        <v>0</v>
      </c>
      <c r="AI534" s="17">
        <v>5.984799054603387E-07</v>
      </c>
      <c r="AJ534" s="4">
        <v>6.1134920163048826E-06</v>
      </c>
      <c r="AK534" s="4">
        <v>0</v>
      </c>
      <c r="AL534" s="4">
        <v>0</v>
      </c>
      <c r="AM534" s="4">
        <v>0</v>
      </c>
      <c r="AN534" s="4">
        <v>0</v>
      </c>
      <c r="AO534" s="4">
        <v>0.007772735700178507</v>
      </c>
      <c r="AP534" s="6">
        <v>0.007779447672100272</v>
      </c>
      <c r="AQ534">
        <v>4.723940683592094</v>
      </c>
      <c r="AR534">
        <v>0</v>
      </c>
      <c r="AS534">
        <v>31.044674281675263</v>
      </c>
      <c r="AT534">
        <v>0</v>
      </c>
      <c r="AU534">
        <v>0</v>
      </c>
      <c r="AV534">
        <v>4.723940683592094</v>
      </c>
      <c r="AW534">
        <v>1</v>
      </c>
    </row>
    <row r="535" spans="2:49" ht="12.75">
      <c r="B535" s="16" t="s">
        <v>20</v>
      </c>
      <c r="C535">
        <v>2</v>
      </c>
      <c r="G535" s="19">
        <v>0</v>
      </c>
      <c r="H535" s="4">
        <v>0</v>
      </c>
      <c r="I535" s="4">
        <v>0</v>
      </c>
      <c r="J535" s="4">
        <v>0</v>
      </c>
      <c r="K535" s="4">
        <v>0</v>
      </c>
      <c r="L535" s="4">
        <v>0</v>
      </c>
      <c r="M535" s="4">
        <v>0</v>
      </c>
      <c r="N535" s="27">
        <v>0</v>
      </c>
      <c r="O535" s="4">
        <v>0</v>
      </c>
      <c r="P535" s="4">
        <v>1.0070247073980807E-05</v>
      </c>
      <c r="Q535" s="4">
        <v>0.011362674219371854</v>
      </c>
      <c r="R535" s="4">
        <v>0</v>
      </c>
      <c r="S535" s="4">
        <v>0</v>
      </c>
      <c r="T535" s="4">
        <v>0</v>
      </c>
      <c r="U535" s="4">
        <v>0</v>
      </c>
      <c r="V535" s="17">
        <v>0.005156153347042315</v>
      </c>
      <c r="W535" s="17">
        <v>0.01652889781348815</v>
      </c>
      <c r="X535" s="18">
        <v>3.999993270864132</v>
      </c>
      <c r="Y535" s="18"/>
      <c r="Z535" s="19">
        <v>0</v>
      </c>
      <c r="AA535" s="4">
        <v>0</v>
      </c>
      <c r="AB535" s="19">
        <v>0</v>
      </c>
      <c r="AC535" s="4">
        <v>0</v>
      </c>
      <c r="AD535" s="4">
        <v>0</v>
      </c>
      <c r="AE535" s="4">
        <v>0</v>
      </c>
      <c r="AF535" s="4">
        <v>0</v>
      </c>
      <c r="AG535" s="4">
        <v>0</v>
      </c>
      <c r="AH535" s="19">
        <v>0</v>
      </c>
      <c r="AI535" s="17">
        <v>2.599655526824849E-08</v>
      </c>
      <c r="AJ535" s="4">
        <v>0.0001407418054506416</v>
      </c>
      <c r="AK535" s="4">
        <v>0</v>
      </c>
      <c r="AL535" s="4">
        <v>0</v>
      </c>
      <c r="AM535" s="4">
        <v>0</v>
      </c>
      <c r="AN535" s="4">
        <v>0</v>
      </c>
      <c r="AO535" s="4">
        <v>0.00033762930279130233</v>
      </c>
      <c r="AP535" s="6">
        <v>0.0004783971047972122</v>
      </c>
      <c r="AQ535">
        <v>0.999994953150929</v>
      </c>
      <c r="AR535">
        <v>1</v>
      </c>
      <c r="AS535">
        <v>3.999973083501809</v>
      </c>
      <c r="AT535">
        <v>3.999993270864132</v>
      </c>
      <c r="AU535">
        <v>2</v>
      </c>
      <c r="AV535">
        <v>0</v>
      </c>
      <c r="AW535">
        <v>0</v>
      </c>
    </row>
    <row r="536" spans="2:49" ht="13.5" thickBot="1">
      <c r="B536" s="12" t="s">
        <v>21</v>
      </c>
      <c r="C536">
        <v>10</v>
      </c>
      <c r="G536" s="19">
        <v>0</v>
      </c>
      <c r="H536" s="4">
        <v>0</v>
      </c>
      <c r="I536" s="4">
        <v>0</v>
      </c>
      <c r="J536" s="4">
        <v>0</v>
      </c>
      <c r="K536" s="4">
        <v>0</v>
      </c>
      <c r="L536" s="4">
        <v>0</v>
      </c>
      <c r="M536" s="4">
        <v>0</v>
      </c>
      <c r="N536" s="27">
        <v>0</v>
      </c>
      <c r="O536" s="4">
        <v>0</v>
      </c>
      <c r="P536" s="4">
        <v>4.831778426326344E-05</v>
      </c>
      <c r="Q536" s="4">
        <v>0.002368174339012999</v>
      </c>
      <c r="R536" s="4">
        <v>0</v>
      </c>
      <c r="S536" s="4">
        <v>0</v>
      </c>
      <c r="T536" s="4">
        <v>0</v>
      </c>
      <c r="U536" s="4">
        <v>0</v>
      </c>
      <c r="V536" s="17">
        <v>0.0247396020395963</v>
      </c>
      <c r="W536" s="17">
        <v>0.027156094162872565</v>
      </c>
      <c r="X536" s="18">
        <v>6.571774787415161</v>
      </c>
      <c r="Y536" s="18"/>
      <c r="Z536" s="19">
        <v>0</v>
      </c>
      <c r="AA536" s="4">
        <v>0</v>
      </c>
      <c r="AB536" s="19">
        <v>0</v>
      </c>
      <c r="AC536" s="4">
        <v>0</v>
      </c>
      <c r="AD536" s="4">
        <v>0</v>
      </c>
      <c r="AE536" s="4">
        <v>0</v>
      </c>
      <c r="AF536" s="4">
        <v>0</v>
      </c>
      <c r="AG536" s="4">
        <v>0</v>
      </c>
      <c r="AH536" s="19">
        <v>0</v>
      </c>
      <c r="AI536" s="17">
        <v>5.984799054603387E-07</v>
      </c>
      <c r="AJ536" s="4">
        <v>6.1134920163048826E-06</v>
      </c>
      <c r="AK536" s="4">
        <v>0</v>
      </c>
      <c r="AL536" s="4">
        <v>0</v>
      </c>
      <c r="AM536" s="4">
        <v>0</v>
      </c>
      <c r="AN536" s="4">
        <v>0</v>
      </c>
      <c r="AO536" s="4">
        <v>0.007772735700178507</v>
      </c>
      <c r="AP536" s="6">
        <v>0.007779447672100272</v>
      </c>
      <c r="AQ536">
        <v>1.7883644051084406</v>
      </c>
      <c r="AR536">
        <v>0</v>
      </c>
      <c r="AS536">
        <v>11.752728108202364</v>
      </c>
      <c r="AT536">
        <v>0</v>
      </c>
      <c r="AU536">
        <v>0</v>
      </c>
      <c r="AV536">
        <v>1.7883644051084406</v>
      </c>
      <c r="AW536">
        <v>1</v>
      </c>
    </row>
    <row r="537" spans="3:50" ht="12.75">
      <c r="C537" s="2">
        <v>242</v>
      </c>
      <c r="D537" s="2">
        <v>0</v>
      </c>
      <c r="E537" s="2">
        <v>0</v>
      </c>
      <c r="F537" s="2">
        <v>0</v>
      </c>
      <c r="G537" s="33">
        <v>0</v>
      </c>
      <c r="H537" s="2">
        <v>0</v>
      </c>
      <c r="I537" s="2">
        <v>0</v>
      </c>
      <c r="J537" s="2">
        <v>0</v>
      </c>
      <c r="K537" s="2">
        <v>0</v>
      </c>
      <c r="L537" s="2">
        <v>0</v>
      </c>
      <c r="M537" s="2">
        <v>0</v>
      </c>
      <c r="N537" s="29">
        <v>0</v>
      </c>
      <c r="O537" s="2">
        <v>0</v>
      </c>
      <c r="P537" s="2">
        <v>0.003900896679756581</v>
      </c>
      <c r="Q537" s="2">
        <v>0.917356182849715</v>
      </c>
      <c r="R537" s="2">
        <v>0</v>
      </c>
      <c r="S537" s="2">
        <v>0</v>
      </c>
      <c r="T537" s="2">
        <v>0</v>
      </c>
      <c r="U537" s="2">
        <v>0</v>
      </c>
      <c r="V537" s="32">
        <v>0.07874292047052897</v>
      </c>
      <c r="W537" s="32">
        <v>1</v>
      </c>
      <c r="X537" s="32">
        <v>242</v>
      </c>
      <c r="Y537" s="32"/>
      <c r="Z537" s="33">
        <v>0</v>
      </c>
      <c r="AA537" s="2">
        <v>0</v>
      </c>
      <c r="AB537" s="2">
        <v>0</v>
      </c>
      <c r="AC537" s="2">
        <v>0</v>
      </c>
      <c r="AD537" s="2">
        <v>0</v>
      </c>
      <c r="AE537" s="2">
        <v>0</v>
      </c>
      <c r="AF537" s="2">
        <v>0</v>
      </c>
      <c r="AG537" s="2">
        <v>0</v>
      </c>
      <c r="AH537" s="2">
        <v>0</v>
      </c>
      <c r="AI537" s="2">
        <v>0.0008621961911666539</v>
      </c>
      <c r="AJ537" s="2">
        <v>0.20275876849052052</v>
      </c>
      <c r="AK537" s="2">
        <v>0</v>
      </c>
      <c r="AL537" s="2">
        <v>0</v>
      </c>
      <c r="AM537" s="2">
        <v>0</v>
      </c>
      <c r="AN537" s="2">
        <v>0</v>
      </c>
      <c r="AO537" s="2">
        <v>0.017404164140862436</v>
      </c>
      <c r="AP537" s="2">
        <v>0.22102512882254954</v>
      </c>
      <c r="AQ537" s="36">
        <v>50.677555479336945</v>
      </c>
      <c r="AR537" s="36">
        <v>6</v>
      </c>
      <c r="AT537">
        <v>13.645471674007847</v>
      </c>
      <c r="AU537">
        <v>15</v>
      </c>
      <c r="AV537" s="36">
        <v>43.946716315316195</v>
      </c>
      <c r="AW537" s="36">
        <v>10</v>
      </c>
      <c r="AX537" t="s">
        <v>64</v>
      </c>
    </row>
    <row r="538" spans="13:48" ht="12.75">
      <c r="M538" s="15"/>
      <c r="N538" s="15"/>
      <c r="AQ538" t="s">
        <v>38</v>
      </c>
      <c r="AU538" s="36">
        <v>0.13445830453849125</v>
      </c>
      <c r="AV538" s="41">
        <v>44.081174619854686</v>
      </c>
    </row>
    <row r="539" spans="5:47" ht="12.75">
      <c r="E539" t="s">
        <v>106</v>
      </c>
      <c r="F539">
        <v>0</v>
      </c>
      <c r="M539" s="15"/>
      <c r="N539" s="15"/>
      <c r="AP539" t="s">
        <v>106</v>
      </c>
      <c r="AU539" t="s">
        <v>61</v>
      </c>
    </row>
    <row r="541" ht="12.75">
      <c r="E541" t="s">
        <v>49</v>
      </c>
    </row>
    <row r="542" spans="2:3" ht="12.75">
      <c r="B542" t="s">
        <v>98</v>
      </c>
      <c r="C542" s="48">
        <v>0.04400526449122577</v>
      </c>
    </row>
    <row r="543" spans="2:26" ht="12.75">
      <c r="B543" t="s">
        <v>99</v>
      </c>
      <c r="C543" s="48">
        <v>0.23923869431463876</v>
      </c>
      <c r="Z543" s="21" t="s">
        <v>34</v>
      </c>
    </row>
    <row r="544" spans="2:3" ht="12.75">
      <c r="B544" t="s">
        <v>100</v>
      </c>
      <c r="C544" s="48">
        <v>0.11805630555198111</v>
      </c>
    </row>
    <row r="545" spans="2:50" ht="12.75">
      <c r="B545" t="s">
        <v>5</v>
      </c>
      <c r="C545" s="48">
        <v>0.19781315994439044</v>
      </c>
      <c r="G545" s="21" t="s">
        <v>107</v>
      </c>
      <c r="O545" s="42"/>
      <c r="Z545" s="21" t="s">
        <v>101</v>
      </c>
      <c r="AP545" t="s">
        <v>108</v>
      </c>
      <c r="AX545" t="s">
        <v>92</v>
      </c>
    </row>
    <row r="546" spans="23:43" ht="12.75">
      <c r="W546" s="30" t="s">
        <v>22</v>
      </c>
      <c r="X546" s="15" t="s">
        <v>2</v>
      </c>
      <c r="AP546" t="s">
        <v>22</v>
      </c>
      <c r="AQ546" t="s">
        <v>37</v>
      </c>
    </row>
    <row r="547" spans="5:52" ht="12.75">
      <c r="E547" s="2"/>
      <c r="F547" s="2"/>
      <c r="G547" s="8">
        <v>0</v>
      </c>
      <c r="H547" s="5">
        <v>0</v>
      </c>
      <c r="I547" s="5">
        <v>0</v>
      </c>
      <c r="J547" s="5">
        <v>0</v>
      </c>
      <c r="K547" s="5">
        <v>0</v>
      </c>
      <c r="L547" s="5">
        <v>0</v>
      </c>
      <c r="M547" s="5">
        <v>0</v>
      </c>
      <c r="N547" s="5">
        <v>0</v>
      </c>
      <c r="O547" s="38">
        <v>0.7751093756128669</v>
      </c>
      <c r="P547" s="38">
        <v>0.05767010231264987</v>
      </c>
      <c r="Q547" s="38">
        <v>0.08924840747260462</v>
      </c>
      <c r="R547" s="8">
        <v>0</v>
      </c>
      <c r="S547" s="5">
        <v>0</v>
      </c>
      <c r="T547" s="5">
        <v>0</v>
      </c>
      <c r="U547" s="5">
        <v>0</v>
      </c>
      <c r="V547" s="38">
        <v>0.07797211460187896</v>
      </c>
      <c r="W547" s="17">
        <v>1</v>
      </c>
      <c r="X547" s="15" t="s">
        <v>97</v>
      </c>
      <c r="Z547" s="34">
        <v>0</v>
      </c>
      <c r="AA547" s="8">
        <v>0</v>
      </c>
      <c r="AB547" s="8">
        <v>0</v>
      </c>
      <c r="AC547" s="8">
        <v>0</v>
      </c>
      <c r="AD547" s="8">
        <v>0</v>
      </c>
      <c r="AE547" s="8">
        <v>0</v>
      </c>
      <c r="AF547" s="8">
        <v>0</v>
      </c>
      <c r="AG547" s="8">
        <v>0</v>
      </c>
      <c r="AH547" s="34">
        <v>0.7751093756128669</v>
      </c>
      <c r="AI547" s="35">
        <v>0.05767010231264987</v>
      </c>
      <c r="AJ547" s="8">
        <v>0.08924840747260462</v>
      </c>
      <c r="AK547" s="8">
        <v>0</v>
      </c>
      <c r="AL547" s="8">
        <v>0</v>
      </c>
      <c r="AM547" s="8">
        <v>0</v>
      </c>
      <c r="AN547" s="8">
        <v>0</v>
      </c>
      <c r="AO547" s="8">
        <v>0.07797211460187896</v>
      </c>
      <c r="AP547" s="6">
        <v>1</v>
      </c>
      <c r="AX547" s="53" t="s">
        <v>90</v>
      </c>
      <c r="AY547" s="53" t="s">
        <v>91</v>
      </c>
      <c r="AZ547" s="53"/>
    </row>
    <row r="548" spans="2:52" ht="12.75">
      <c r="B548" t="s">
        <v>1</v>
      </c>
      <c r="C548" t="s">
        <v>102</v>
      </c>
      <c r="D548" t="s">
        <v>103</v>
      </c>
      <c r="E548" t="s">
        <v>104</v>
      </c>
      <c r="F548" t="s">
        <v>105</v>
      </c>
      <c r="G548" s="23" t="s">
        <v>6</v>
      </c>
      <c r="H548" s="7" t="s">
        <v>8</v>
      </c>
      <c r="I548" s="7" t="s">
        <v>9</v>
      </c>
      <c r="J548" s="7" t="s">
        <v>10</v>
      </c>
      <c r="K548" s="7" t="s">
        <v>11</v>
      </c>
      <c r="L548" s="7" t="s">
        <v>12</v>
      </c>
      <c r="M548" s="7" t="s">
        <v>13</v>
      </c>
      <c r="N548" s="26" t="s">
        <v>14</v>
      </c>
      <c r="O548" s="7" t="s">
        <v>7</v>
      </c>
      <c r="P548" s="7" t="s">
        <v>15</v>
      </c>
      <c r="Q548" s="7" t="s">
        <v>16</v>
      </c>
      <c r="R548" s="7" t="s">
        <v>17</v>
      </c>
      <c r="S548" s="7" t="s">
        <v>18</v>
      </c>
      <c r="T548" s="7" t="s">
        <v>19</v>
      </c>
      <c r="U548" s="7" t="s">
        <v>20</v>
      </c>
      <c r="V548" s="31" t="s">
        <v>21</v>
      </c>
      <c r="W548" s="31"/>
      <c r="Z548" s="23" t="s">
        <v>6</v>
      </c>
      <c r="AA548" s="7" t="s">
        <v>8</v>
      </c>
      <c r="AB548" s="7" t="s">
        <v>9</v>
      </c>
      <c r="AC548" s="7" t="s">
        <v>10</v>
      </c>
      <c r="AD548" s="7" t="s">
        <v>11</v>
      </c>
      <c r="AE548" s="7" t="s">
        <v>12</v>
      </c>
      <c r="AF548" s="7" t="s">
        <v>13</v>
      </c>
      <c r="AG548" s="26" t="s">
        <v>14</v>
      </c>
      <c r="AH548" s="7" t="s">
        <v>7</v>
      </c>
      <c r="AI548" s="7" t="s">
        <v>15</v>
      </c>
      <c r="AJ548" s="7" t="s">
        <v>16</v>
      </c>
      <c r="AK548" s="7" t="s">
        <v>17</v>
      </c>
      <c r="AL548" s="7" t="s">
        <v>18</v>
      </c>
      <c r="AM548" s="7" t="s">
        <v>19</v>
      </c>
      <c r="AN548" s="7" t="s">
        <v>20</v>
      </c>
      <c r="AO548" s="31" t="s">
        <v>21</v>
      </c>
      <c r="AP548" s="6"/>
      <c r="AR548" t="s">
        <v>65</v>
      </c>
      <c r="AS548" t="s">
        <v>59</v>
      </c>
      <c r="AT548" t="s">
        <v>60</v>
      </c>
      <c r="AU548" t="s">
        <v>62</v>
      </c>
      <c r="AW548" t="s">
        <v>63</v>
      </c>
      <c r="AX548" s="53"/>
      <c r="AY548" s="53"/>
      <c r="AZ548" s="53"/>
    </row>
    <row r="549" spans="2:52" ht="12.75">
      <c r="B549" s="16" t="s">
        <v>6</v>
      </c>
      <c r="C549">
        <v>27</v>
      </c>
      <c r="G549" s="19">
        <v>0</v>
      </c>
      <c r="H549" s="4">
        <v>0</v>
      </c>
      <c r="I549" s="4">
        <v>0</v>
      </c>
      <c r="J549" s="4">
        <v>0</v>
      </c>
      <c r="K549" s="4">
        <v>0</v>
      </c>
      <c r="L549" s="4">
        <v>0</v>
      </c>
      <c r="M549" s="4">
        <v>0</v>
      </c>
      <c r="N549" s="27">
        <v>0</v>
      </c>
      <c r="O549" s="4">
        <v>0.09834741427709574</v>
      </c>
      <c r="P549" s="4">
        <v>0.0009794877450102738</v>
      </c>
      <c r="Q549" s="4">
        <v>0.003561094017413833</v>
      </c>
      <c r="R549" s="4">
        <v>0</v>
      </c>
      <c r="S549" s="4">
        <v>0</v>
      </c>
      <c r="T549" s="4">
        <v>0</v>
      </c>
      <c r="U549" s="4">
        <v>0</v>
      </c>
      <c r="V549" s="17">
        <v>1.91698952816937E-05</v>
      </c>
      <c r="W549" s="17">
        <v>0.10290716593480155</v>
      </c>
      <c r="X549" s="18">
        <v>24.903534156221976</v>
      </c>
      <c r="Y549" s="18"/>
      <c r="Z549" s="19">
        <v>0</v>
      </c>
      <c r="AA549" s="4">
        <v>0</v>
      </c>
      <c r="AB549" s="4">
        <v>0</v>
      </c>
      <c r="AC549" s="4">
        <v>0</v>
      </c>
      <c r="AD549" s="4">
        <v>0</v>
      </c>
      <c r="AE549" s="4">
        <v>0</v>
      </c>
      <c r="AF549" s="4">
        <v>0</v>
      </c>
      <c r="AG549" s="4">
        <v>0</v>
      </c>
      <c r="AH549" s="19">
        <v>0.012478514902936153</v>
      </c>
      <c r="AI549" s="17">
        <v>1.663593793234642E-05</v>
      </c>
      <c r="AJ549" s="4">
        <v>0.00014209094548553404</v>
      </c>
      <c r="AK549" s="4">
        <v>0</v>
      </c>
      <c r="AL549" s="4">
        <v>0</v>
      </c>
      <c r="AM549" s="4">
        <v>0</v>
      </c>
      <c r="AN549" s="4">
        <v>0</v>
      </c>
      <c r="AO549" s="4">
        <v>4.713029613054085E-09</v>
      </c>
      <c r="AP549" s="6">
        <v>0.012637246499383645</v>
      </c>
      <c r="AQ549">
        <v>0.1764877630041035</v>
      </c>
      <c r="AR549">
        <v>0</v>
      </c>
      <c r="AS549">
        <v>4.395169034127901</v>
      </c>
      <c r="AT549">
        <v>0</v>
      </c>
      <c r="AU549">
        <v>0</v>
      </c>
      <c r="AV549">
        <v>0.1764877630041035</v>
      </c>
      <c r="AW549">
        <v>1</v>
      </c>
      <c r="AX549" s="53">
        <v>10.743801652892563</v>
      </c>
      <c r="AY549" s="53">
        <v>11.511501204111303</v>
      </c>
      <c r="AZ549" s="53" t="s">
        <v>93</v>
      </c>
    </row>
    <row r="550" spans="2:52" ht="12.75">
      <c r="B550" s="16" t="s">
        <v>8</v>
      </c>
      <c r="C550">
        <v>5</v>
      </c>
      <c r="G550" s="19">
        <v>0</v>
      </c>
      <c r="H550" s="4">
        <v>0</v>
      </c>
      <c r="I550" s="4">
        <v>0</v>
      </c>
      <c r="J550" s="4">
        <v>0</v>
      </c>
      <c r="K550" s="4">
        <v>0</v>
      </c>
      <c r="L550" s="4">
        <v>0</v>
      </c>
      <c r="M550" s="4">
        <v>0</v>
      </c>
      <c r="N550" s="27">
        <v>0</v>
      </c>
      <c r="O550" s="4">
        <v>0.013164709338288037</v>
      </c>
      <c r="P550" s="4">
        <v>0.007317296915754819</v>
      </c>
      <c r="Q550" s="4">
        <v>0.00047668531003247394</v>
      </c>
      <c r="R550" s="4">
        <v>0</v>
      </c>
      <c r="S550" s="4">
        <v>0</v>
      </c>
      <c r="T550" s="4">
        <v>0</v>
      </c>
      <c r="U550" s="4">
        <v>0</v>
      </c>
      <c r="V550" s="17">
        <v>0.00014320936258228412</v>
      </c>
      <c r="W550" s="17">
        <v>0.021101900926657615</v>
      </c>
      <c r="X550" s="18">
        <v>5.106660024251143</v>
      </c>
      <c r="Y550" s="18"/>
      <c r="Z550" s="19">
        <v>0</v>
      </c>
      <c r="AA550" s="4">
        <v>0</v>
      </c>
      <c r="AB550" s="4">
        <v>0</v>
      </c>
      <c r="AC550" s="4">
        <v>0</v>
      </c>
      <c r="AD550" s="4">
        <v>0</v>
      </c>
      <c r="AE550" s="4">
        <v>0</v>
      </c>
      <c r="AF550" s="4">
        <v>0</v>
      </c>
      <c r="AG550" s="4">
        <v>0</v>
      </c>
      <c r="AH550" s="19">
        <v>0.0002235936984049187</v>
      </c>
      <c r="AI550" s="17">
        <v>0.0009284331396369038</v>
      </c>
      <c r="AJ550" s="4">
        <v>2.54602733242613E-06</v>
      </c>
      <c r="AK550" s="4">
        <v>0</v>
      </c>
      <c r="AL550" s="4">
        <v>0</v>
      </c>
      <c r="AM550" s="4">
        <v>0</v>
      </c>
      <c r="AN550" s="4">
        <v>0</v>
      </c>
      <c r="AO550" s="4">
        <v>2.6302892560938574E-07</v>
      </c>
      <c r="AP550" s="6">
        <v>0.0011548358942998582</v>
      </c>
      <c r="AQ550">
        <v>0.0022277497854231434</v>
      </c>
      <c r="AR550">
        <v>0</v>
      </c>
      <c r="AS550">
        <v>0.011376360773254428</v>
      </c>
      <c r="AT550">
        <v>0</v>
      </c>
      <c r="AU550">
        <v>0</v>
      </c>
      <c r="AV550">
        <v>0.0022277497854231434</v>
      </c>
      <c r="AW550">
        <v>1</v>
      </c>
      <c r="AX550" s="53">
        <v>33.47107438016529</v>
      </c>
      <c r="AY550" s="53">
        <v>32.644797766169894</v>
      </c>
      <c r="AZ550" s="53" t="s">
        <v>94</v>
      </c>
    </row>
    <row r="551" spans="2:52" ht="12.75">
      <c r="B551" s="16" t="s">
        <v>9</v>
      </c>
      <c r="C551">
        <v>8</v>
      </c>
      <c r="G551" s="19">
        <v>0</v>
      </c>
      <c r="H551" s="4">
        <v>0</v>
      </c>
      <c r="I551" s="4">
        <v>0</v>
      </c>
      <c r="J551" s="4">
        <v>0</v>
      </c>
      <c r="K551" s="4">
        <v>0</v>
      </c>
      <c r="L551" s="4">
        <v>0</v>
      </c>
      <c r="M551" s="4">
        <v>0</v>
      </c>
      <c r="N551" s="27">
        <v>0</v>
      </c>
      <c r="O551" s="4">
        <v>0.030927581102033943</v>
      </c>
      <c r="P551" s="4">
        <v>0.00030802219758317126</v>
      </c>
      <c r="Q551" s="4">
        <v>0.011324014880273098</v>
      </c>
      <c r="R551" s="4">
        <v>0</v>
      </c>
      <c r="S551" s="4">
        <v>0</v>
      </c>
      <c r="T551" s="4">
        <v>0</v>
      </c>
      <c r="U551" s="4">
        <v>0</v>
      </c>
      <c r="V551" s="17">
        <v>6.09588453328245E-05</v>
      </c>
      <c r="W551" s="17">
        <v>0.04262057702522303</v>
      </c>
      <c r="X551" s="18">
        <v>10.314179640103974</v>
      </c>
      <c r="Y551" s="18"/>
      <c r="Z551" s="19">
        <v>0</v>
      </c>
      <c r="AA551" s="4">
        <v>0</v>
      </c>
      <c r="AB551" s="4">
        <v>0</v>
      </c>
      <c r="AC551" s="4">
        <v>0</v>
      </c>
      <c r="AD551" s="4">
        <v>0</v>
      </c>
      <c r="AE551" s="4">
        <v>0</v>
      </c>
      <c r="AF551" s="4">
        <v>0</v>
      </c>
      <c r="AG551" s="4">
        <v>0</v>
      </c>
      <c r="AH551" s="19">
        <v>0.0012340390955361436</v>
      </c>
      <c r="AI551" s="17">
        <v>1.6451795713765341E-06</v>
      </c>
      <c r="AJ551" s="4">
        <v>0.0014368134585259526</v>
      </c>
      <c r="AK551" s="4">
        <v>0</v>
      </c>
      <c r="AL551" s="4">
        <v>0</v>
      </c>
      <c r="AM551" s="4">
        <v>0</v>
      </c>
      <c r="AN551" s="4">
        <v>0</v>
      </c>
      <c r="AO551" s="4">
        <v>4.765781771194484E-08</v>
      </c>
      <c r="AP551" s="6">
        <v>0.0026725453914511845</v>
      </c>
      <c r="AQ551">
        <v>0.5192296036660627</v>
      </c>
      <c r="AR551">
        <v>0</v>
      </c>
      <c r="AS551">
        <v>5.355427406671761</v>
      </c>
      <c r="AT551">
        <v>0</v>
      </c>
      <c r="AU551">
        <v>0</v>
      </c>
      <c r="AV551">
        <v>0.5192296036660627</v>
      </c>
      <c r="AW551">
        <v>1</v>
      </c>
      <c r="AX551" s="53">
        <v>22.31404958677686</v>
      </c>
      <c r="AY551" s="53">
        <v>22.167168445489043</v>
      </c>
      <c r="AZ551" s="53" t="s">
        <v>95</v>
      </c>
    </row>
    <row r="552" spans="2:52" ht="12.75">
      <c r="B552" s="16" t="s">
        <v>10</v>
      </c>
      <c r="C552">
        <v>4</v>
      </c>
      <c r="G552" s="19">
        <v>0</v>
      </c>
      <c r="H552" s="4">
        <v>0</v>
      </c>
      <c r="I552" s="4">
        <v>0</v>
      </c>
      <c r="J552" s="4">
        <v>0</v>
      </c>
      <c r="K552" s="4">
        <v>0</v>
      </c>
      <c r="L552" s="4">
        <v>0</v>
      </c>
      <c r="M552" s="4">
        <v>0</v>
      </c>
      <c r="N552" s="27">
        <v>0</v>
      </c>
      <c r="O552" s="4">
        <v>0.004139942252039758</v>
      </c>
      <c r="P552" s="4">
        <v>0.0023010904300142312</v>
      </c>
      <c r="Q552" s="4">
        <v>0.0015158239343356357</v>
      </c>
      <c r="R552" s="4">
        <v>0</v>
      </c>
      <c r="S552" s="4">
        <v>0</v>
      </c>
      <c r="T552" s="4">
        <v>0</v>
      </c>
      <c r="U552" s="4">
        <v>0</v>
      </c>
      <c r="V552" s="17">
        <v>0.0004553951524295725</v>
      </c>
      <c r="W552" s="17">
        <v>0.008412251768819198</v>
      </c>
      <c r="X552" s="18">
        <v>2.035764928054246</v>
      </c>
      <c r="Y552" s="18"/>
      <c r="Z552" s="19">
        <v>0</v>
      </c>
      <c r="AA552" s="4">
        <v>0</v>
      </c>
      <c r="AB552" s="4">
        <v>0</v>
      </c>
      <c r="AC552" s="4">
        <v>0</v>
      </c>
      <c r="AD552" s="4">
        <v>0</v>
      </c>
      <c r="AE552" s="4">
        <v>0</v>
      </c>
      <c r="AF552" s="4">
        <v>0</v>
      </c>
      <c r="AG552" s="4">
        <v>0</v>
      </c>
      <c r="AH552" s="19">
        <v>2.2111875290725766E-05</v>
      </c>
      <c r="AI552" s="17">
        <v>9.181563678172327E-05</v>
      </c>
      <c r="AJ552" s="4">
        <v>2.5745245937414245E-05</v>
      </c>
      <c r="AK552" s="4">
        <v>0</v>
      </c>
      <c r="AL552" s="4">
        <v>0</v>
      </c>
      <c r="AM552" s="4">
        <v>0</v>
      </c>
      <c r="AN552" s="4">
        <v>0</v>
      </c>
      <c r="AO552" s="4">
        <v>2.6597296471340796E-06</v>
      </c>
      <c r="AP552" s="6">
        <v>0.00014233248765699736</v>
      </c>
      <c r="AQ552">
        <v>1.8952185317139596</v>
      </c>
      <c r="AR552">
        <v>1</v>
      </c>
      <c r="AS552">
        <v>3.858219417861742</v>
      </c>
      <c r="AT552">
        <v>2.035764928054246</v>
      </c>
      <c r="AU552">
        <v>4</v>
      </c>
      <c r="AV552">
        <v>0</v>
      </c>
      <c r="AW552">
        <v>0</v>
      </c>
      <c r="AX552" s="53">
        <v>78.51239669421487</v>
      </c>
      <c r="AY552" s="53">
        <v>80.21868400556096</v>
      </c>
      <c r="AZ552" s="53" t="s">
        <v>96</v>
      </c>
    </row>
    <row r="553" spans="2:49" ht="12.75">
      <c r="B553" s="3" t="s">
        <v>11</v>
      </c>
      <c r="C553">
        <v>0</v>
      </c>
      <c r="G553" s="19">
        <v>0</v>
      </c>
      <c r="H553" s="4">
        <v>0</v>
      </c>
      <c r="I553" s="4">
        <v>0</v>
      </c>
      <c r="J553" s="4">
        <v>0</v>
      </c>
      <c r="K553" s="4">
        <v>0</v>
      </c>
      <c r="L553" s="4">
        <v>0</v>
      </c>
      <c r="M553" s="4">
        <v>0</v>
      </c>
      <c r="N553" s="27">
        <v>0</v>
      </c>
      <c r="O553" s="4">
        <v>0.004527016537375096</v>
      </c>
      <c r="P553" s="4">
        <v>4.508666803709172E-05</v>
      </c>
      <c r="Q553" s="4">
        <v>0.00016392023752203935</v>
      </c>
      <c r="R553" s="4">
        <v>0</v>
      </c>
      <c r="S553" s="4">
        <v>0</v>
      </c>
      <c r="T553" s="4">
        <v>0</v>
      </c>
      <c r="U553" s="4">
        <v>0</v>
      </c>
      <c r="V553" s="17">
        <v>0.0004164574212071321</v>
      </c>
      <c r="W553" s="17">
        <v>0.005152480864141358</v>
      </c>
      <c r="X553" s="18">
        <v>1.2469003691222087</v>
      </c>
      <c r="Y553" s="18"/>
      <c r="Z553" s="19">
        <v>0</v>
      </c>
      <c r="AA553" s="4">
        <v>0</v>
      </c>
      <c r="AB553" s="4">
        <v>0</v>
      </c>
      <c r="AC553" s="4">
        <v>0</v>
      </c>
      <c r="AD553" s="4">
        <v>0</v>
      </c>
      <c r="AE553" s="4">
        <v>0</v>
      </c>
      <c r="AF553" s="4">
        <v>0</v>
      </c>
      <c r="AG553" s="4">
        <v>0</v>
      </c>
      <c r="AH553" s="19">
        <v>2.6439983019768547E-05</v>
      </c>
      <c r="AI553" s="17">
        <v>3.524889939792969E-08</v>
      </c>
      <c r="AJ553" s="4">
        <v>3.01068052979317E-07</v>
      </c>
      <c r="AK553" s="4">
        <v>0</v>
      </c>
      <c r="AL553" s="4">
        <v>0</v>
      </c>
      <c r="AM553" s="4">
        <v>0</v>
      </c>
      <c r="AN553" s="4">
        <v>0</v>
      </c>
      <c r="AO553" s="4">
        <v>2.2243437229329064E-06</v>
      </c>
      <c r="AP553" s="6">
        <v>2.90006436950787E-05</v>
      </c>
      <c r="AQ553">
        <v>1.2469003691222087</v>
      </c>
      <c r="AR553">
        <v>1</v>
      </c>
      <c r="AS553">
        <v>1.5547605305171004</v>
      </c>
      <c r="AT553">
        <v>1.2469003691222087</v>
      </c>
      <c r="AU553">
        <v>0</v>
      </c>
      <c r="AV553">
        <v>0</v>
      </c>
      <c r="AW553">
        <v>0</v>
      </c>
    </row>
    <row r="554" spans="1:52" ht="12.75">
      <c r="A554" s="15"/>
      <c r="B554" s="16" t="s">
        <v>12</v>
      </c>
      <c r="C554">
        <v>3</v>
      </c>
      <c r="G554" s="19">
        <v>0</v>
      </c>
      <c r="H554" s="17">
        <v>0</v>
      </c>
      <c r="I554" s="17">
        <v>0</v>
      </c>
      <c r="J554" s="17">
        <v>0</v>
      </c>
      <c r="K554" s="17">
        <v>0</v>
      </c>
      <c r="L554" s="17">
        <v>0</v>
      </c>
      <c r="M554" s="17">
        <v>0</v>
      </c>
      <c r="N554" s="27">
        <v>0</v>
      </c>
      <c r="O554" s="17">
        <v>0.000605982956666771</v>
      </c>
      <c r="P554" s="17">
        <v>0.0003368215055779102</v>
      </c>
      <c r="Q554" s="17">
        <v>2.194223709390756E-05</v>
      </c>
      <c r="R554" s="17">
        <v>0</v>
      </c>
      <c r="S554" s="17">
        <v>0</v>
      </c>
      <c r="T554" s="17">
        <v>0</v>
      </c>
      <c r="U554" s="17">
        <v>0</v>
      </c>
      <c r="V554" s="17">
        <v>0.0031111595007349384</v>
      </c>
      <c r="W554" s="17">
        <v>0.004075906200073527</v>
      </c>
      <c r="X554" s="18">
        <v>0.9863693004177936</v>
      </c>
      <c r="Y554" s="18"/>
      <c r="Z554" s="19">
        <v>0</v>
      </c>
      <c r="AA554" s="4">
        <v>0</v>
      </c>
      <c r="AB554" s="4">
        <v>0</v>
      </c>
      <c r="AC554" s="17">
        <v>0</v>
      </c>
      <c r="AD554" s="17">
        <v>0</v>
      </c>
      <c r="AE554" s="17">
        <v>0</v>
      </c>
      <c r="AF554" s="17">
        <v>0</v>
      </c>
      <c r="AG554" s="17">
        <v>0</v>
      </c>
      <c r="AH554" s="19">
        <v>4.7375938844792106E-07</v>
      </c>
      <c r="AI554" s="17">
        <v>1.96720175741539E-06</v>
      </c>
      <c r="AJ554" s="17">
        <v>5.3946258798291804E-09</v>
      </c>
      <c r="AK554" s="17">
        <v>0</v>
      </c>
      <c r="AL554" s="17">
        <v>0</v>
      </c>
      <c r="AM554" s="17">
        <v>0</v>
      </c>
      <c r="AN554" s="17">
        <v>0</v>
      </c>
      <c r="AO554" s="17">
        <v>0.00012413814205803288</v>
      </c>
      <c r="AP554" s="6">
        <v>0.00012658449782977603</v>
      </c>
      <c r="AQ554">
        <v>4.110740868133756</v>
      </c>
      <c r="AR554">
        <v>1</v>
      </c>
      <c r="AS554">
        <v>4.054708594299926</v>
      </c>
      <c r="AT554">
        <v>0.9863693004177936</v>
      </c>
      <c r="AU554">
        <v>3</v>
      </c>
      <c r="AV554">
        <v>0</v>
      </c>
      <c r="AW554">
        <v>0</v>
      </c>
      <c r="AX554" s="15"/>
      <c r="AY554" s="15"/>
      <c r="AZ554" s="15"/>
    </row>
    <row r="555" spans="1:52" ht="12.75">
      <c r="A555" s="15"/>
      <c r="B555" s="16" t="s">
        <v>13</v>
      </c>
      <c r="C555">
        <v>3</v>
      </c>
      <c r="G555" s="19">
        <v>0</v>
      </c>
      <c r="H555" s="17">
        <v>0</v>
      </c>
      <c r="I555" s="17">
        <v>0</v>
      </c>
      <c r="J555" s="17">
        <v>0</v>
      </c>
      <c r="K555" s="17">
        <v>0</v>
      </c>
      <c r="L555" s="17">
        <v>0</v>
      </c>
      <c r="M555" s="17">
        <v>0</v>
      </c>
      <c r="N555" s="27">
        <v>0</v>
      </c>
      <c r="O555" s="17">
        <v>0.0014236233066121818</v>
      </c>
      <c r="P555" s="17">
        <v>1.4178528155390295E-05</v>
      </c>
      <c r="Q555" s="17">
        <v>0.00052125419879409</v>
      </c>
      <c r="R555" s="17">
        <v>0</v>
      </c>
      <c r="S555" s="17">
        <v>0</v>
      </c>
      <c r="T555" s="17">
        <v>0</v>
      </c>
      <c r="U555" s="17">
        <v>0</v>
      </c>
      <c r="V555" s="17">
        <v>0.001324303714445202</v>
      </c>
      <c r="W555" s="17">
        <v>0.003283359748006864</v>
      </c>
      <c r="X555" s="18">
        <v>0.7945730590176611</v>
      </c>
      <c r="Y555" s="18"/>
      <c r="Z555" s="19">
        <v>0</v>
      </c>
      <c r="AA555" s="4">
        <v>0</v>
      </c>
      <c r="AB555" s="4">
        <v>0</v>
      </c>
      <c r="AC555" s="17">
        <v>0</v>
      </c>
      <c r="AD555" s="17">
        <v>0</v>
      </c>
      <c r="AE555" s="17">
        <v>0</v>
      </c>
      <c r="AF555" s="17">
        <v>0</v>
      </c>
      <c r="AG555" s="17">
        <v>0</v>
      </c>
      <c r="AH555" s="19">
        <v>2.6147320402709873E-06</v>
      </c>
      <c r="AI555" s="17">
        <v>3.4858731403550764E-09</v>
      </c>
      <c r="AJ555" s="17">
        <v>3.0443785772185406E-06</v>
      </c>
      <c r="AK555" s="17">
        <v>0</v>
      </c>
      <c r="AL555" s="17">
        <v>0</v>
      </c>
      <c r="AM555" s="17">
        <v>0</v>
      </c>
      <c r="AN555" s="17">
        <v>0</v>
      </c>
      <c r="AO555" s="17">
        <v>2.2492404330035918E-05</v>
      </c>
      <c r="AP555" s="6">
        <v>2.81550008206658E-05</v>
      </c>
      <c r="AQ555">
        <v>6.121410657975261</v>
      </c>
      <c r="AR555">
        <v>1</v>
      </c>
      <c r="AS555">
        <v>4.863907992010716</v>
      </c>
      <c r="AT555">
        <v>0.7945730590176611</v>
      </c>
      <c r="AU555">
        <v>3</v>
      </c>
      <c r="AV555">
        <v>0</v>
      </c>
      <c r="AW555">
        <v>0</v>
      </c>
      <c r="AX555" s="15"/>
      <c r="AY555" s="15"/>
      <c r="AZ555" s="15"/>
    </row>
    <row r="556" spans="1:52" ht="13.5" thickBot="1">
      <c r="A556" s="11" t="s">
        <v>4</v>
      </c>
      <c r="B556" s="12" t="s">
        <v>14</v>
      </c>
      <c r="C556">
        <v>2</v>
      </c>
      <c r="G556" s="20">
        <v>0</v>
      </c>
      <c r="H556" s="13">
        <v>0</v>
      </c>
      <c r="I556" s="13">
        <v>0</v>
      </c>
      <c r="J556" s="13">
        <v>0</v>
      </c>
      <c r="K556" s="13">
        <v>0</v>
      </c>
      <c r="L556" s="13">
        <v>0</v>
      </c>
      <c r="M556" s="13">
        <v>0</v>
      </c>
      <c r="N556" s="28">
        <v>0</v>
      </c>
      <c r="O556" s="13">
        <v>0.0001905651223931226</v>
      </c>
      <c r="P556" s="13">
        <v>0.00010592118264868344</v>
      </c>
      <c r="Q556" s="13">
        <v>6.977468669539328E-05</v>
      </c>
      <c r="R556" s="13">
        <v>0</v>
      </c>
      <c r="S556" s="13">
        <v>0</v>
      </c>
      <c r="T556" s="13">
        <v>0</v>
      </c>
      <c r="U556" s="13">
        <v>0</v>
      </c>
      <c r="V556" s="13">
        <v>0.009893256484930179</v>
      </c>
      <c r="W556" s="13">
        <v>0.010259517476667378</v>
      </c>
      <c r="X556" s="14">
        <v>2.4828032293535056</v>
      </c>
      <c r="Y556" s="14"/>
      <c r="Z556" s="20">
        <v>0</v>
      </c>
      <c r="AA556" s="13">
        <v>0</v>
      </c>
      <c r="AB556" s="13">
        <v>0</v>
      </c>
      <c r="AC556" s="13">
        <v>0</v>
      </c>
      <c r="AD556" s="13">
        <v>0</v>
      </c>
      <c r="AE556" s="13">
        <v>0</v>
      </c>
      <c r="AF556" s="13">
        <v>0</v>
      </c>
      <c r="AG556" s="13">
        <v>0</v>
      </c>
      <c r="AH556" s="20">
        <v>4.685153736399078E-08</v>
      </c>
      <c r="AI556" s="13">
        <v>1.9454269168575445E-07</v>
      </c>
      <c r="AJ556" s="13">
        <v>5.455007031845035E-08</v>
      </c>
      <c r="AK556" s="13">
        <v>0</v>
      </c>
      <c r="AL556" s="13">
        <v>0</v>
      </c>
      <c r="AM556" s="13">
        <v>0</v>
      </c>
      <c r="AN556" s="13">
        <v>0</v>
      </c>
      <c r="AO556" s="13">
        <v>0.0012552759967632636</v>
      </c>
      <c r="AP556" s="6">
        <v>0.001255571941062632</v>
      </c>
      <c r="AQ556">
        <v>0.0938853935415857</v>
      </c>
      <c r="AR556">
        <v>1</v>
      </c>
      <c r="AS556">
        <v>0.23309895827417373</v>
      </c>
      <c r="AT556">
        <v>2.4828032293535056</v>
      </c>
      <c r="AU556">
        <v>2</v>
      </c>
      <c r="AV556">
        <v>0</v>
      </c>
      <c r="AW556">
        <v>0</v>
      </c>
      <c r="AX556" s="11"/>
      <c r="AY556" s="11"/>
      <c r="AZ556" s="11"/>
    </row>
    <row r="557" spans="2:49" ht="12.75">
      <c r="B557" s="3" t="s">
        <v>7</v>
      </c>
      <c r="C557">
        <v>99</v>
      </c>
      <c r="G557" s="19">
        <v>0</v>
      </c>
      <c r="H557" s="4">
        <v>0</v>
      </c>
      <c r="I557" s="4">
        <v>0</v>
      </c>
      <c r="J557" s="4">
        <v>0</v>
      </c>
      <c r="K557" s="4">
        <v>0</v>
      </c>
      <c r="L557" s="4">
        <v>0</v>
      </c>
      <c r="M557" s="4">
        <v>0</v>
      </c>
      <c r="N557" s="27">
        <v>0</v>
      </c>
      <c r="O557" s="4">
        <v>0.39882584914351454</v>
      </c>
      <c r="P557" s="4">
        <v>0.0039720925506870845</v>
      </c>
      <c r="Q557" s="4">
        <v>0.014441216943166005</v>
      </c>
      <c r="R557" s="4">
        <v>0</v>
      </c>
      <c r="S557" s="4">
        <v>0</v>
      </c>
      <c r="T557" s="4">
        <v>0</v>
      </c>
      <c r="U557" s="4">
        <v>0</v>
      </c>
      <c r="V557" s="17">
        <v>7.773920463401853E-05</v>
      </c>
      <c r="W557" s="17">
        <v>0.41731689784200166</v>
      </c>
      <c r="X557" s="18">
        <v>100.9906892777644</v>
      </c>
      <c r="Y557" s="18"/>
      <c r="Z557" s="19">
        <v>0</v>
      </c>
      <c r="AA557" s="4">
        <v>0</v>
      </c>
      <c r="AB557" s="19">
        <v>0</v>
      </c>
      <c r="AC557" s="4">
        <v>0</v>
      </c>
      <c r="AD557" s="4">
        <v>0</v>
      </c>
      <c r="AE557" s="4">
        <v>0</v>
      </c>
      <c r="AF557" s="4">
        <v>0</v>
      </c>
      <c r="AG557" s="4">
        <v>0</v>
      </c>
      <c r="AH557" s="19">
        <v>0.2052124035001867</v>
      </c>
      <c r="AI557" s="17">
        <v>0.00027358229998775374</v>
      </c>
      <c r="AJ557" s="4">
        <v>0.0023367223315844637</v>
      </c>
      <c r="AK557" s="4">
        <v>0</v>
      </c>
      <c r="AL557" s="4">
        <v>0</v>
      </c>
      <c r="AM557" s="4">
        <v>0</v>
      </c>
      <c r="AN557" s="4">
        <v>0</v>
      </c>
      <c r="AO557" s="4">
        <v>7.750699038992303E-08</v>
      </c>
      <c r="AP557" s="6">
        <v>0.2078227856387493</v>
      </c>
      <c r="AQ557">
        <v>0.0392396945594338</v>
      </c>
      <c r="AR557">
        <v>0</v>
      </c>
      <c r="AS557">
        <v>3.9628438006061613</v>
      </c>
      <c r="AT557">
        <v>0</v>
      </c>
      <c r="AU557">
        <v>0</v>
      </c>
      <c r="AV557">
        <v>0.0392396945594338</v>
      </c>
      <c r="AW557">
        <v>1</v>
      </c>
    </row>
    <row r="558" spans="2:49" ht="12.75">
      <c r="B558" s="3" t="s">
        <v>15</v>
      </c>
      <c r="C558">
        <v>21</v>
      </c>
      <c r="G558" s="19">
        <v>0</v>
      </c>
      <c r="H558" s="4">
        <v>0</v>
      </c>
      <c r="I558" s="4">
        <v>0</v>
      </c>
      <c r="J558" s="4">
        <v>0</v>
      </c>
      <c r="K558" s="4">
        <v>0</v>
      </c>
      <c r="L558" s="4">
        <v>0</v>
      </c>
      <c r="M558" s="4">
        <v>0</v>
      </c>
      <c r="N558" s="27">
        <v>0</v>
      </c>
      <c r="O558" s="4">
        <v>0.05338652184364606</v>
      </c>
      <c r="P558" s="4">
        <v>0.029673654130231555</v>
      </c>
      <c r="Q558" s="4">
        <v>0.0019330902082721753</v>
      </c>
      <c r="R558" s="4">
        <v>0</v>
      </c>
      <c r="S558" s="4">
        <v>0</v>
      </c>
      <c r="T558" s="4">
        <v>0</v>
      </c>
      <c r="U558" s="4">
        <v>0</v>
      </c>
      <c r="V558" s="17">
        <v>0.0005807534042151492</v>
      </c>
      <c r="W558" s="17">
        <v>0.08557401958636494</v>
      </c>
      <c r="X558" s="18">
        <v>20.708912739900317</v>
      </c>
      <c r="Y558" s="18"/>
      <c r="Z558" s="19">
        <v>0</v>
      </c>
      <c r="AA558" s="4">
        <v>0</v>
      </c>
      <c r="AB558" s="19">
        <v>0</v>
      </c>
      <c r="AC558" s="4">
        <v>0</v>
      </c>
      <c r="AD558" s="4">
        <v>0</v>
      </c>
      <c r="AE558" s="4">
        <v>0</v>
      </c>
      <c r="AF558" s="4">
        <v>0</v>
      </c>
      <c r="AG558" s="4">
        <v>0</v>
      </c>
      <c r="AH558" s="19">
        <v>0.0036770561732769034</v>
      </c>
      <c r="AI558" s="17">
        <v>0.015268322998058317</v>
      </c>
      <c r="AJ558" s="4">
        <v>4.1870077675781596E-05</v>
      </c>
      <c r="AK558" s="4">
        <v>0</v>
      </c>
      <c r="AL558" s="4">
        <v>0</v>
      </c>
      <c r="AM558" s="4">
        <v>0</v>
      </c>
      <c r="AN558" s="4">
        <v>0</v>
      </c>
      <c r="AO558" s="4">
        <v>4.3255786793726E-06</v>
      </c>
      <c r="AP558" s="6">
        <v>0.018991574827690375</v>
      </c>
      <c r="AQ558">
        <v>0.004091561640949214</v>
      </c>
      <c r="AR558">
        <v>0</v>
      </c>
      <c r="AS558">
        <v>0.08473179299234063</v>
      </c>
      <c r="AT558">
        <v>0</v>
      </c>
      <c r="AU558">
        <v>0</v>
      </c>
      <c r="AV558">
        <v>0.004091561640949214</v>
      </c>
      <c r="AW558">
        <v>1</v>
      </c>
    </row>
    <row r="559" spans="2:49" ht="12.75">
      <c r="B559" s="3" t="s">
        <v>16</v>
      </c>
      <c r="C559">
        <v>44</v>
      </c>
      <c r="G559" s="19">
        <v>0</v>
      </c>
      <c r="H559" s="4">
        <v>0</v>
      </c>
      <c r="I559" s="4">
        <v>0</v>
      </c>
      <c r="J559" s="4">
        <v>0</v>
      </c>
      <c r="K559" s="4">
        <v>0</v>
      </c>
      <c r="L559" s="4">
        <v>0</v>
      </c>
      <c r="M559" s="4">
        <v>0</v>
      </c>
      <c r="N559" s="27">
        <v>0</v>
      </c>
      <c r="O559" s="4">
        <v>0.12541985862709407</v>
      </c>
      <c r="P559" s="4">
        <v>0.001249114838546088</v>
      </c>
      <c r="Q559" s="4">
        <v>0.04592199890089558</v>
      </c>
      <c r="R559" s="4">
        <v>0</v>
      </c>
      <c r="S559" s="4">
        <v>0</v>
      </c>
      <c r="T559" s="4">
        <v>0</v>
      </c>
      <c r="U559" s="4">
        <v>0</v>
      </c>
      <c r="V559" s="17">
        <v>0.0002472049055013533</v>
      </c>
      <c r="W559" s="17">
        <v>0.17283817727203707</v>
      </c>
      <c r="X559" s="18">
        <v>41.82683889983297</v>
      </c>
      <c r="Y559" s="18"/>
      <c r="Z559" s="19">
        <v>0</v>
      </c>
      <c r="AA559" s="4">
        <v>0</v>
      </c>
      <c r="AB559" s="19">
        <v>0</v>
      </c>
      <c r="AC559" s="4">
        <v>0</v>
      </c>
      <c r="AD559" s="4">
        <v>0</v>
      </c>
      <c r="AE559" s="4">
        <v>0</v>
      </c>
      <c r="AF559" s="4">
        <v>0</v>
      </c>
      <c r="AG559" s="4">
        <v>0</v>
      </c>
      <c r="AH559" s="19">
        <v>0.02029409194747862</v>
      </c>
      <c r="AI559" s="17">
        <v>2.705540335990998E-05</v>
      </c>
      <c r="AJ559" s="4">
        <v>0.023628768767679952</v>
      </c>
      <c r="AK559" s="4">
        <v>0</v>
      </c>
      <c r="AL559" s="4">
        <v>0</v>
      </c>
      <c r="AM559" s="4">
        <v>0</v>
      </c>
      <c r="AN559" s="4">
        <v>0</v>
      </c>
      <c r="AO559" s="4">
        <v>7.83745132679272E-07</v>
      </c>
      <c r="AP559" s="6">
        <v>0.04395069986365116</v>
      </c>
      <c r="AQ559">
        <v>0.11290906249427399</v>
      </c>
      <c r="AR559">
        <v>0</v>
      </c>
      <c r="AS559">
        <v>4.722629167279171</v>
      </c>
      <c r="AT559">
        <v>0</v>
      </c>
      <c r="AU559">
        <v>0</v>
      </c>
      <c r="AV559">
        <v>0.11290906249427399</v>
      </c>
      <c r="AW559">
        <v>1</v>
      </c>
    </row>
    <row r="560" spans="2:49" ht="12.75">
      <c r="B560" s="3" t="s">
        <v>17</v>
      </c>
      <c r="C560">
        <v>8</v>
      </c>
      <c r="G560" s="19">
        <v>0</v>
      </c>
      <c r="H560" s="4">
        <v>0</v>
      </c>
      <c r="I560" s="4">
        <v>0</v>
      </c>
      <c r="J560" s="4">
        <v>0</v>
      </c>
      <c r="K560" s="4">
        <v>0</v>
      </c>
      <c r="L560" s="4">
        <v>0</v>
      </c>
      <c r="M560" s="4">
        <v>0</v>
      </c>
      <c r="N560" s="27">
        <v>0</v>
      </c>
      <c r="O560" s="4">
        <v>0.016788605945681694</v>
      </c>
      <c r="P560" s="4">
        <v>0.009331555399318446</v>
      </c>
      <c r="Q560" s="4">
        <v>0.006147083501963174</v>
      </c>
      <c r="R560" s="4">
        <v>0</v>
      </c>
      <c r="S560" s="4">
        <v>0</v>
      </c>
      <c r="T560" s="4">
        <v>0</v>
      </c>
      <c r="U560" s="4">
        <v>0</v>
      </c>
      <c r="V560" s="17">
        <v>0.001846752756018955</v>
      </c>
      <c r="W560" s="17">
        <v>0.034113997602982275</v>
      </c>
      <c r="X560" s="18">
        <v>8.25558741992171</v>
      </c>
      <c r="Y560" s="18"/>
      <c r="Z560" s="19">
        <v>0</v>
      </c>
      <c r="AA560" s="4">
        <v>0</v>
      </c>
      <c r="AB560" s="19">
        <v>0</v>
      </c>
      <c r="AC560" s="4">
        <v>0</v>
      </c>
      <c r="AD560" s="4">
        <v>0</v>
      </c>
      <c r="AE560" s="4">
        <v>0</v>
      </c>
      <c r="AF560" s="4">
        <v>0</v>
      </c>
      <c r="AG560" s="4">
        <v>0</v>
      </c>
      <c r="AH560" s="19">
        <v>0.00036363550547497715</v>
      </c>
      <c r="AI560" s="17">
        <v>0.0015099318828752763</v>
      </c>
      <c r="AJ560" s="4">
        <v>0.00042338722505168183</v>
      </c>
      <c r="AK560" s="4">
        <v>0</v>
      </c>
      <c r="AL560" s="4">
        <v>0</v>
      </c>
      <c r="AM560" s="4">
        <v>0</v>
      </c>
      <c r="AN560" s="4">
        <v>0</v>
      </c>
      <c r="AO560" s="4">
        <v>4.3739941635255076E-05</v>
      </c>
      <c r="AP560" s="6">
        <v>0.0023406945550371906</v>
      </c>
      <c r="AQ560">
        <v>0.00791281418262252</v>
      </c>
      <c r="AR560">
        <v>0</v>
      </c>
      <c r="AS560">
        <v>0.06532492922223657</v>
      </c>
      <c r="AT560">
        <v>0</v>
      </c>
      <c r="AU560">
        <v>0</v>
      </c>
      <c r="AV560">
        <v>0.00791281418262252</v>
      </c>
      <c r="AW560">
        <v>1</v>
      </c>
    </row>
    <row r="561" spans="2:49" ht="12.75">
      <c r="B561" s="3" t="s">
        <v>18</v>
      </c>
      <c r="C561">
        <v>5</v>
      </c>
      <c r="G561" s="19">
        <v>0</v>
      </c>
      <c r="H561" s="4">
        <v>0</v>
      </c>
      <c r="I561" s="4">
        <v>0</v>
      </c>
      <c r="J561" s="4">
        <v>0</v>
      </c>
      <c r="K561" s="4">
        <v>0</v>
      </c>
      <c r="L561" s="4">
        <v>0</v>
      </c>
      <c r="M561" s="4">
        <v>0</v>
      </c>
      <c r="N561" s="27">
        <v>0</v>
      </c>
      <c r="O561" s="4">
        <v>0.018358298770502997</v>
      </c>
      <c r="P561" s="4">
        <v>0.00018283885547088193</v>
      </c>
      <c r="Q561" s="4">
        <v>0.0006647417057385652</v>
      </c>
      <c r="R561" s="4">
        <v>0</v>
      </c>
      <c r="S561" s="4">
        <v>0</v>
      </c>
      <c r="T561" s="4">
        <v>0</v>
      </c>
      <c r="U561" s="4">
        <v>0</v>
      </c>
      <c r="V561" s="17">
        <v>0.0016888495327094188</v>
      </c>
      <c r="W561" s="17">
        <v>0.020894728864421862</v>
      </c>
      <c r="X561" s="18">
        <v>5.056524385190091</v>
      </c>
      <c r="Y561" s="18"/>
      <c r="Z561" s="19">
        <v>0</v>
      </c>
      <c r="AA561" s="4">
        <v>0</v>
      </c>
      <c r="AB561" s="19">
        <v>0</v>
      </c>
      <c r="AC561" s="4">
        <v>0</v>
      </c>
      <c r="AD561" s="4">
        <v>0</v>
      </c>
      <c r="AE561" s="4">
        <v>0</v>
      </c>
      <c r="AF561" s="4">
        <v>0</v>
      </c>
      <c r="AG561" s="4">
        <v>0</v>
      </c>
      <c r="AH561" s="19">
        <v>0.00043481235597307764</v>
      </c>
      <c r="AI561" s="17">
        <v>5.796772630758661E-07</v>
      </c>
      <c r="AJ561" s="4">
        <v>4.951141962772339E-06</v>
      </c>
      <c r="AK561" s="4">
        <v>0</v>
      </c>
      <c r="AL561" s="4">
        <v>0</v>
      </c>
      <c r="AM561" s="4">
        <v>0</v>
      </c>
      <c r="AN561" s="4">
        <v>0</v>
      </c>
      <c r="AO561" s="4">
        <v>3.65799075566445E-05</v>
      </c>
      <c r="AP561" s="6">
        <v>0.00047692308275557033</v>
      </c>
      <c r="AQ561">
        <v>0.0006318581455822769</v>
      </c>
      <c r="AR561">
        <v>0</v>
      </c>
      <c r="AS561">
        <v>0.0031950061211177736</v>
      </c>
      <c r="AT561">
        <v>0</v>
      </c>
      <c r="AU561">
        <v>0</v>
      </c>
      <c r="AV561">
        <v>0.0006318581455822769</v>
      </c>
      <c r="AW561">
        <v>1</v>
      </c>
    </row>
    <row r="562" spans="2:49" ht="12.75">
      <c r="B562" s="16" t="s">
        <v>19</v>
      </c>
      <c r="C562">
        <v>1</v>
      </c>
      <c r="G562" s="19">
        <v>0</v>
      </c>
      <c r="H562" s="4">
        <v>0</v>
      </c>
      <c r="I562" s="4">
        <v>0</v>
      </c>
      <c r="J562" s="4">
        <v>0</v>
      </c>
      <c r="K562" s="4">
        <v>0</v>
      </c>
      <c r="L562" s="4">
        <v>0</v>
      </c>
      <c r="M562" s="4">
        <v>0</v>
      </c>
      <c r="N562" s="27">
        <v>0</v>
      </c>
      <c r="O562" s="4">
        <v>0.002457427773120499</v>
      </c>
      <c r="P562" s="4">
        <v>0.0013659039636102774</v>
      </c>
      <c r="Q562" s="4">
        <v>8.898181416777796E-05</v>
      </c>
      <c r="R562" s="4">
        <v>0</v>
      </c>
      <c r="S562" s="4">
        <v>0</v>
      </c>
      <c r="T562" s="4">
        <v>0</v>
      </c>
      <c r="U562" s="4">
        <v>0</v>
      </c>
      <c r="V562" s="17">
        <v>0.012616608568940266</v>
      </c>
      <c r="W562" s="17">
        <v>0.01652892211983882</v>
      </c>
      <c r="X562" s="18">
        <v>3.999999153000995</v>
      </c>
      <c r="Y562" s="18"/>
      <c r="Z562" s="19">
        <v>0</v>
      </c>
      <c r="AA562" s="4">
        <v>0</v>
      </c>
      <c r="AB562" s="19">
        <v>0</v>
      </c>
      <c r="AC562" s="4">
        <v>0</v>
      </c>
      <c r="AD562" s="4">
        <v>0</v>
      </c>
      <c r="AE562" s="4">
        <v>0</v>
      </c>
      <c r="AF562" s="4">
        <v>0</v>
      </c>
      <c r="AG562" s="4">
        <v>0</v>
      </c>
      <c r="AH562" s="19">
        <v>7.791095618381689E-06</v>
      </c>
      <c r="AI562" s="17">
        <v>3.235114145786817E-05</v>
      </c>
      <c r="AJ562" s="4">
        <v>8.871601720198068E-08</v>
      </c>
      <c r="AK562" s="4">
        <v>0</v>
      </c>
      <c r="AL562" s="4">
        <v>0</v>
      </c>
      <c r="AM562" s="4">
        <v>0</v>
      </c>
      <c r="AN562" s="4">
        <v>0</v>
      </c>
      <c r="AO562" s="4">
        <v>0.002041483838095383</v>
      </c>
      <c r="AP562" s="6">
        <v>0.002081714791188835</v>
      </c>
      <c r="AQ562">
        <v>2.249999205938444</v>
      </c>
      <c r="AR562">
        <v>1</v>
      </c>
      <c r="AS562">
        <v>8.999994918006687</v>
      </c>
      <c r="AT562">
        <v>3.999999153000995</v>
      </c>
      <c r="AU562">
        <v>1</v>
      </c>
      <c r="AV562">
        <v>0</v>
      </c>
      <c r="AW562">
        <v>0</v>
      </c>
    </row>
    <row r="563" spans="2:49" ht="12.75">
      <c r="B563" s="16" t="s">
        <v>20</v>
      </c>
      <c r="C563">
        <v>2</v>
      </c>
      <c r="G563" s="19">
        <v>0</v>
      </c>
      <c r="H563" s="4">
        <v>0</v>
      </c>
      <c r="I563" s="4">
        <v>0</v>
      </c>
      <c r="J563" s="4">
        <v>0</v>
      </c>
      <c r="K563" s="4">
        <v>0</v>
      </c>
      <c r="L563" s="4">
        <v>0</v>
      </c>
      <c r="M563" s="4">
        <v>0</v>
      </c>
      <c r="N563" s="27">
        <v>0</v>
      </c>
      <c r="O563" s="4">
        <v>0.005773184565080446</v>
      </c>
      <c r="P563" s="4">
        <v>5.749783634622419E-05</v>
      </c>
      <c r="Q563" s="4">
        <v>0.0021138293261878972</v>
      </c>
      <c r="R563" s="4">
        <v>0</v>
      </c>
      <c r="S563" s="4">
        <v>0</v>
      </c>
      <c r="T563" s="4">
        <v>0</v>
      </c>
      <c r="U563" s="4">
        <v>0</v>
      </c>
      <c r="V563" s="17">
        <v>0.005370416266861867</v>
      </c>
      <c r="W563" s="17">
        <v>0.013314927994476434</v>
      </c>
      <c r="X563" s="18">
        <v>3.2222125746632972</v>
      </c>
      <c r="Y563" s="18"/>
      <c r="Z563" s="19">
        <v>0</v>
      </c>
      <c r="AA563" s="4">
        <v>0</v>
      </c>
      <c r="AB563" s="19">
        <v>0</v>
      </c>
      <c r="AC563" s="4">
        <v>0</v>
      </c>
      <c r="AD563" s="4">
        <v>0</v>
      </c>
      <c r="AE563" s="4">
        <v>0</v>
      </c>
      <c r="AF563" s="4">
        <v>0</v>
      </c>
      <c r="AG563" s="4">
        <v>0</v>
      </c>
      <c r="AH563" s="19">
        <v>4.2999944357697726E-05</v>
      </c>
      <c r="AI563" s="17">
        <v>5.732608495428336E-08</v>
      </c>
      <c r="AJ563" s="4">
        <v>5.006559272918729E-05</v>
      </c>
      <c r="AK563" s="4">
        <v>0</v>
      </c>
      <c r="AL563" s="4">
        <v>0</v>
      </c>
      <c r="AM563" s="4">
        <v>0</v>
      </c>
      <c r="AN563" s="4">
        <v>0</v>
      </c>
      <c r="AO563" s="4">
        <v>0.0003698934039000597</v>
      </c>
      <c r="AP563" s="6">
        <v>0.000463016267071899</v>
      </c>
      <c r="AQ563">
        <v>0.46359560179581877</v>
      </c>
      <c r="AR563">
        <v>1</v>
      </c>
      <c r="AS563">
        <v>1.493803577665086</v>
      </c>
      <c r="AT563">
        <v>3.2222125746632972</v>
      </c>
      <c r="AU563">
        <v>2</v>
      </c>
      <c r="AV563">
        <v>0</v>
      </c>
      <c r="AW563">
        <v>0</v>
      </c>
    </row>
    <row r="564" spans="2:49" ht="13.5" thickBot="1">
      <c r="B564" s="12" t="s">
        <v>21</v>
      </c>
      <c r="C564">
        <v>10</v>
      </c>
      <c r="G564" s="19">
        <v>0</v>
      </c>
      <c r="H564" s="4">
        <v>0</v>
      </c>
      <c r="I564" s="4">
        <v>0</v>
      </c>
      <c r="J564" s="4">
        <v>0</v>
      </c>
      <c r="K564" s="4">
        <v>0</v>
      </c>
      <c r="L564" s="4">
        <v>0</v>
      </c>
      <c r="M564" s="4">
        <v>0</v>
      </c>
      <c r="N564" s="27">
        <v>0</v>
      </c>
      <c r="O564" s="4">
        <v>0.0007727940517219593</v>
      </c>
      <c r="P564" s="4">
        <v>0.00042953956565774964</v>
      </c>
      <c r="Q564" s="4">
        <v>0.0002829555700529871</v>
      </c>
      <c r="R564" s="4">
        <v>0</v>
      </c>
      <c r="S564" s="4">
        <v>0</v>
      </c>
      <c r="T564" s="4">
        <v>0</v>
      </c>
      <c r="U564" s="4">
        <v>0</v>
      </c>
      <c r="V564" s="17">
        <v>0.04011987958605411</v>
      </c>
      <c r="W564" s="17">
        <v>0.04160516877348681</v>
      </c>
      <c r="X564" s="18">
        <v>10.068450843183808</v>
      </c>
      <c r="Y564" s="18"/>
      <c r="Z564" s="19">
        <v>0</v>
      </c>
      <c r="AA564" s="4">
        <v>0</v>
      </c>
      <c r="AB564" s="19">
        <v>0</v>
      </c>
      <c r="AC564" s="4">
        <v>0</v>
      </c>
      <c r="AD564" s="4">
        <v>0</v>
      </c>
      <c r="AE564" s="4">
        <v>0</v>
      </c>
      <c r="AF564" s="4">
        <v>0</v>
      </c>
      <c r="AG564" s="4">
        <v>0</v>
      </c>
      <c r="AH564" s="19">
        <v>7.704856439191403E-07</v>
      </c>
      <c r="AI564" s="17">
        <v>3.1993048575704955E-06</v>
      </c>
      <c r="AJ564" s="4">
        <v>8.970900085649933E-07</v>
      </c>
      <c r="AK564" s="4">
        <v>0</v>
      </c>
      <c r="AL564" s="4">
        <v>0</v>
      </c>
      <c r="AM564" s="4">
        <v>0</v>
      </c>
      <c r="AN564" s="4">
        <v>0</v>
      </c>
      <c r="AO564" s="4">
        <v>0.020643338278281007</v>
      </c>
      <c r="AP564" s="6">
        <v>0.02064820515879106</v>
      </c>
      <c r="AQ564">
        <v>0.00046536632154749413</v>
      </c>
      <c r="AR564">
        <v>0</v>
      </c>
      <c r="AS564">
        <v>0.004685517932574214</v>
      </c>
      <c r="AT564">
        <v>0</v>
      </c>
      <c r="AU564">
        <v>0</v>
      </c>
      <c r="AV564">
        <v>0.00046536632154749413</v>
      </c>
      <c r="AW564">
        <v>1</v>
      </c>
    </row>
    <row r="565" spans="3:50" ht="12.75">
      <c r="C565" s="2">
        <v>242</v>
      </c>
      <c r="D565" s="2">
        <v>0</v>
      </c>
      <c r="E565" s="2">
        <v>0</v>
      </c>
      <c r="F565" s="2">
        <v>0</v>
      </c>
      <c r="G565" s="33">
        <v>0</v>
      </c>
      <c r="H565" s="2">
        <v>0</v>
      </c>
      <c r="I565" s="2">
        <v>0</v>
      </c>
      <c r="J565" s="2">
        <v>0</v>
      </c>
      <c r="K565" s="2">
        <v>0</v>
      </c>
      <c r="L565" s="2">
        <v>0</v>
      </c>
      <c r="M565" s="2">
        <v>0</v>
      </c>
      <c r="N565" s="29">
        <v>0</v>
      </c>
      <c r="O565" s="2">
        <v>0.7751093756128667</v>
      </c>
      <c r="P565" s="2">
        <v>0.05767010231264988</v>
      </c>
      <c r="Q565" s="2">
        <v>0.08924840747260464</v>
      </c>
      <c r="R565" s="2">
        <v>0</v>
      </c>
      <c r="S565" s="2">
        <v>0</v>
      </c>
      <c r="T565" s="2">
        <v>0</v>
      </c>
      <c r="U565" s="2">
        <v>0</v>
      </c>
      <c r="V565" s="32">
        <v>0.07797211460187897</v>
      </c>
      <c r="W565" s="32">
        <v>1</v>
      </c>
      <c r="X565" s="32">
        <v>242</v>
      </c>
      <c r="Y565" s="32"/>
      <c r="Z565" s="33">
        <v>0</v>
      </c>
      <c r="AA565" s="2">
        <v>0</v>
      </c>
      <c r="AB565" s="2">
        <v>0</v>
      </c>
      <c r="AC565" s="2">
        <v>0</v>
      </c>
      <c r="AD565" s="2">
        <v>0</v>
      </c>
      <c r="AE565" s="2">
        <v>0</v>
      </c>
      <c r="AF565" s="2">
        <v>0</v>
      </c>
      <c r="AG565" s="2">
        <v>0</v>
      </c>
      <c r="AH565" s="2">
        <v>0.24402139590616406</v>
      </c>
      <c r="AI565" s="2">
        <v>0.01815581040708872</v>
      </c>
      <c r="AJ565" s="2">
        <v>0.02809735201131733</v>
      </c>
      <c r="AK565" s="2">
        <v>0</v>
      </c>
      <c r="AL565" s="2">
        <v>0</v>
      </c>
      <c r="AM565" s="2">
        <v>0</v>
      </c>
      <c r="AN565" s="2">
        <v>0</v>
      </c>
      <c r="AO565" s="2">
        <v>0.024547328216565124</v>
      </c>
      <c r="AP565" s="2">
        <v>0.31482188654113524</v>
      </c>
      <c r="AQ565" s="36">
        <v>17.044946102021033</v>
      </c>
      <c r="AR565" s="36">
        <v>7</v>
      </c>
      <c r="AT565">
        <v>14.768622613629708</v>
      </c>
      <c r="AU565">
        <v>15</v>
      </c>
      <c r="AV565" s="36">
        <v>0.8631954737999988</v>
      </c>
      <c r="AW565" s="36">
        <v>9</v>
      </c>
      <c r="AX565" t="s">
        <v>64</v>
      </c>
    </row>
    <row r="566" spans="13:48" ht="12.75">
      <c r="M566" s="15"/>
      <c r="N566" s="15"/>
      <c r="AQ566" t="s">
        <v>38</v>
      </c>
      <c r="AU566" s="36">
        <v>0.00362494840068163</v>
      </c>
      <c r="AV566" s="41">
        <v>0.8668204222006805</v>
      </c>
    </row>
    <row r="567" spans="5:47" ht="12.75">
      <c r="E567" t="s">
        <v>106</v>
      </c>
      <c r="F567">
        <v>0</v>
      </c>
      <c r="M567" s="15"/>
      <c r="N567" s="15"/>
      <c r="AP567" t="s">
        <v>106</v>
      </c>
      <c r="AU567" t="s">
        <v>61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H201"/>
  <sheetViews>
    <sheetView workbookViewId="0" topLeftCell="A1">
      <selection activeCell="BB15" sqref="BB15:BH31"/>
    </sheetView>
  </sheetViews>
  <sheetFormatPr defaultColWidth="11.00390625" defaultRowHeight="12"/>
  <cols>
    <col min="1" max="1" width="9.125" style="0" customWidth="1"/>
    <col min="2" max="2" width="7.375" style="0" customWidth="1"/>
    <col min="3" max="3" width="7.50390625" style="0" customWidth="1"/>
    <col min="4" max="4" width="4.50390625" style="0" customWidth="1"/>
    <col min="5" max="5" width="3.875" style="0" customWidth="1"/>
    <col min="6" max="6" width="4.875" style="0" customWidth="1"/>
    <col min="7" max="24" width="7.125" style="0" customWidth="1"/>
    <col min="25" max="25" width="5.00390625" style="0" customWidth="1"/>
    <col min="26" max="42" width="7.125" style="0" customWidth="1"/>
    <col min="43" max="43" width="11.125" style="0" customWidth="1"/>
    <col min="54" max="54" width="5.125" style="0" bestFit="1" customWidth="1"/>
    <col min="55" max="55" width="4.125" style="0" bestFit="1" customWidth="1"/>
    <col min="56" max="56" width="5.625" style="0" bestFit="1" customWidth="1"/>
    <col min="57" max="60" width="3.125" style="0" bestFit="1" customWidth="1"/>
  </cols>
  <sheetData>
    <row r="1" spans="1:35" ht="12.75">
      <c r="A1" s="10" t="s">
        <v>73</v>
      </c>
      <c r="G1" s="21"/>
      <c r="N1" s="24"/>
      <c r="W1" s="15"/>
      <c r="X1" s="15"/>
      <c r="Y1" s="15"/>
      <c r="AH1" s="21"/>
      <c r="AI1" s="15"/>
    </row>
    <row r="2" spans="7:35" ht="12.75">
      <c r="G2" s="21"/>
      <c r="N2" s="24"/>
      <c r="W2" s="15"/>
      <c r="X2" s="15"/>
      <c r="Y2" s="15"/>
      <c r="AH2" s="21"/>
      <c r="AI2" s="15"/>
    </row>
    <row r="3" spans="4:35" ht="12.75">
      <c r="D3" t="s">
        <v>3</v>
      </c>
      <c r="G3" s="21"/>
      <c r="N3" s="24"/>
      <c r="W3" s="15"/>
      <c r="X3" s="15"/>
      <c r="Y3" s="15"/>
      <c r="AH3" s="21"/>
      <c r="AI3" s="15"/>
    </row>
    <row r="4" spans="7:35" ht="12.75">
      <c r="G4" s="21"/>
      <c r="N4" s="24"/>
      <c r="W4" s="15"/>
      <c r="X4" s="15"/>
      <c r="Y4" s="15"/>
      <c r="Z4" s="21"/>
      <c r="AH4" s="21"/>
      <c r="AI4" s="15"/>
    </row>
    <row r="5" spans="4:35" ht="12.75">
      <c r="D5" t="s">
        <v>50</v>
      </c>
      <c r="G5" s="21"/>
      <c r="N5" s="24"/>
      <c r="W5" s="15"/>
      <c r="X5" s="15"/>
      <c r="Y5" s="15"/>
      <c r="Z5" s="21"/>
      <c r="AH5" s="21"/>
      <c r="AI5" s="15"/>
    </row>
    <row r="6" spans="4:35" ht="12.75">
      <c r="D6" s="9" t="s">
        <v>36</v>
      </c>
      <c r="G6" s="21"/>
      <c r="N6" s="24"/>
      <c r="W6" s="15"/>
      <c r="X6" s="15"/>
      <c r="Y6" s="15"/>
      <c r="Z6" s="21"/>
      <c r="AH6" s="21"/>
      <c r="AI6" s="15"/>
    </row>
    <row r="7" spans="1:35" ht="12.75">
      <c r="A7" t="s">
        <v>35</v>
      </c>
      <c r="B7" s="1"/>
      <c r="G7" s="21"/>
      <c r="N7" s="24"/>
      <c r="W7" s="15"/>
      <c r="X7" s="15"/>
      <c r="Y7" s="15"/>
      <c r="Z7" s="21"/>
      <c r="AH7" s="21"/>
      <c r="AI7" s="15"/>
    </row>
    <row r="8" spans="7:35" ht="12.75">
      <c r="G8" s="21"/>
      <c r="N8" s="24"/>
      <c r="W8" s="15"/>
      <c r="X8" s="15"/>
      <c r="Y8" s="15"/>
      <c r="Z8" s="21"/>
      <c r="AH8" s="21"/>
      <c r="AI8" s="15"/>
    </row>
    <row r="9" spans="5:35" ht="12.75">
      <c r="E9" t="s">
        <v>49</v>
      </c>
      <c r="G9" s="21"/>
      <c r="N9" s="24"/>
      <c r="W9" s="15"/>
      <c r="X9" s="15"/>
      <c r="Y9" s="15"/>
      <c r="Z9" s="21"/>
      <c r="AH9" s="21"/>
      <c r="AI9" s="15"/>
    </row>
    <row r="10" spans="2:35" ht="12.75">
      <c r="B10" t="s">
        <v>98</v>
      </c>
      <c r="C10" s="1">
        <v>0.08015508729582956</v>
      </c>
      <c r="G10" s="21"/>
      <c r="N10" s="24"/>
      <c r="W10" s="15"/>
      <c r="X10" s="15"/>
      <c r="Y10" s="15"/>
      <c r="Z10" s="21"/>
      <c r="AH10" s="21"/>
      <c r="AI10" s="15"/>
    </row>
    <row r="11" spans="2:35" ht="12.75">
      <c r="B11" t="s">
        <v>99</v>
      </c>
      <c r="C11" s="1">
        <v>0.07959675307993781</v>
      </c>
      <c r="G11" s="21"/>
      <c r="N11" s="24"/>
      <c r="W11" s="15"/>
      <c r="X11" s="15"/>
      <c r="Y11" s="15"/>
      <c r="Z11" s="21" t="s">
        <v>34</v>
      </c>
      <c r="AH11" s="21"/>
      <c r="AI11" s="15"/>
    </row>
    <row r="12" spans="2:35" ht="12.75">
      <c r="B12" t="s">
        <v>100</v>
      </c>
      <c r="C12" s="1">
        <v>0.007598461242840846</v>
      </c>
      <c r="G12" s="21"/>
      <c r="N12" s="24"/>
      <c r="W12" s="15"/>
      <c r="X12" s="15"/>
      <c r="Y12" s="15"/>
      <c r="Z12" s="21"/>
      <c r="AH12" s="21"/>
      <c r="AI12" s="15"/>
    </row>
    <row r="13" spans="2:42" ht="12.75">
      <c r="B13" t="s">
        <v>5</v>
      </c>
      <c r="C13" s="1">
        <v>0.2746987148291006</v>
      </c>
      <c r="G13" s="21" t="s">
        <v>107</v>
      </c>
      <c r="N13" s="24"/>
      <c r="O13" s="42"/>
      <c r="W13" s="15"/>
      <c r="X13" s="15"/>
      <c r="Y13" s="15"/>
      <c r="Z13" s="21" t="s">
        <v>101</v>
      </c>
      <c r="AH13" s="21"/>
      <c r="AI13" s="15"/>
      <c r="AP13" t="s">
        <v>108</v>
      </c>
    </row>
    <row r="14" spans="7:43" ht="12.75">
      <c r="G14" s="21"/>
      <c r="N14" s="24"/>
      <c r="W14" s="30" t="s">
        <v>22</v>
      </c>
      <c r="X14" s="15" t="s">
        <v>2</v>
      </c>
      <c r="Y14" s="15"/>
      <c r="Z14" s="21"/>
      <c r="AH14" s="21"/>
      <c r="AI14" s="15"/>
      <c r="AP14" t="s">
        <v>22</v>
      </c>
      <c r="AQ14" t="s">
        <v>37</v>
      </c>
    </row>
    <row r="15" spans="5:60" ht="12.75">
      <c r="E15" s="2"/>
      <c r="F15" s="2"/>
      <c r="G15" s="43">
        <v>0</v>
      </c>
      <c r="H15" s="44">
        <v>0</v>
      </c>
      <c r="I15" s="44">
        <v>0</v>
      </c>
      <c r="J15" s="44">
        <v>0</v>
      </c>
      <c r="K15" s="47">
        <f>1-L15-M15-N15-V15</f>
        <v>0.05993415717295818</v>
      </c>
      <c r="L15" s="47">
        <v>0.03491732244366666</v>
      </c>
      <c r="M15" s="47">
        <v>0.12485225988856943</v>
      </c>
      <c r="N15" s="46">
        <v>0.6882484581374906</v>
      </c>
      <c r="O15" s="44">
        <v>0</v>
      </c>
      <c r="P15" s="44">
        <v>0</v>
      </c>
      <c r="Q15" s="44">
        <v>0</v>
      </c>
      <c r="R15" s="44">
        <v>0</v>
      </c>
      <c r="S15" s="44">
        <v>0</v>
      </c>
      <c r="T15" s="44">
        <v>0</v>
      </c>
      <c r="U15" s="44">
        <v>0</v>
      </c>
      <c r="V15" s="45">
        <v>0.0920478023573152</v>
      </c>
      <c r="W15" s="17">
        <v>1</v>
      </c>
      <c r="X15" s="15" t="s">
        <v>97</v>
      </c>
      <c r="Y15" s="15"/>
      <c r="Z15" s="34">
        <v>0</v>
      </c>
      <c r="AA15" s="8">
        <v>0</v>
      </c>
      <c r="AB15" s="8">
        <v>0</v>
      </c>
      <c r="AC15" s="8">
        <v>0</v>
      </c>
      <c r="AD15" s="8">
        <v>0.059934157172958274</v>
      </c>
      <c r="AE15" s="8">
        <v>0.03491732244366666</v>
      </c>
      <c r="AF15" s="8">
        <v>0.12485225988856943</v>
      </c>
      <c r="AG15" s="8">
        <v>0.6882484581374906</v>
      </c>
      <c r="AH15" s="34">
        <v>0</v>
      </c>
      <c r="AI15" s="35">
        <v>0</v>
      </c>
      <c r="AJ15" s="8">
        <v>0</v>
      </c>
      <c r="AK15" s="8">
        <v>0</v>
      </c>
      <c r="AL15" s="8">
        <v>0</v>
      </c>
      <c r="AM15" s="8">
        <v>0</v>
      </c>
      <c r="AN15" s="8">
        <v>0</v>
      </c>
      <c r="AO15" s="8">
        <v>0.0920478023573152</v>
      </c>
      <c r="AP15" s="6">
        <v>1</v>
      </c>
      <c r="AX15" s="53" t="s">
        <v>90</v>
      </c>
      <c r="AY15" s="53" t="s">
        <v>91</v>
      </c>
      <c r="AZ15" s="53"/>
      <c r="BB15" t="s">
        <v>40</v>
      </c>
      <c r="BC15" t="s">
        <v>47</v>
      </c>
      <c r="BD15" t="s">
        <v>48</v>
      </c>
      <c r="BE15" t="s">
        <v>42</v>
      </c>
      <c r="BF15" t="s">
        <v>43</v>
      </c>
      <c r="BG15" t="s">
        <v>44</v>
      </c>
      <c r="BH15" t="s">
        <v>45</v>
      </c>
    </row>
    <row r="16" spans="2:60" ht="12.75">
      <c r="B16" t="s">
        <v>1</v>
      </c>
      <c r="C16" t="s">
        <v>102</v>
      </c>
      <c r="D16" t="s">
        <v>103</v>
      </c>
      <c r="E16" t="s">
        <v>104</v>
      </c>
      <c r="F16" t="s">
        <v>105</v>
      </c>
      <c r="G16" s="23" t="s">
        <v>6</v>
      </c>
      <c r="H16" s="7" t="s">
        <v>8</v>
      </c>
      <c r="I16" s="7" t="s">
        <v>9</v>
      </c>
      <c r="J16" s="7" t="s">
        <v>10</v>
      </c>
      <c r="K16" s="7" t="s">
        <v>11</v>
      </c>
      <c r="L16" s="7" t="s">
        <v>12</v>
      </c>
      <c r="M16" s="7" t="s">
        <v>13</v>
      </c>
      <c r="N16" s="26" t="s">
        <v>14</v>
      </c>
      <c r="O16" s="7" t="s">
        <v>7</v>
      </c>
      <c r="P16" s="7" t="s">
        <v>15</v>
      </c>
      <c r="Q16" s="7" t="s">
        <v>16</v>
      </c>
      <c r="R16" s="7" t="s">
        <v>17</v>
      </c>
      <c r="S16" s="7" t="s">
        <v>18</v>
      </c>
      <c r="T16" s="7" t="s">
        <v>19</v>
      </c>
      <c r="U16" s="7" t="s">
        <v>20</v>
      </c>
      <c r="V16" s="31" t="s">
        <v>21</v>
      </c>
      <c r="W16" s="31"/>
      <c r="X16" s="15"/>
      <c r="Y16" s="15"/>
      <c r="Z16" s="23" t="s">
        <v>6</v>
      </c>
      <c r="AA16" s="7" t="s">
        <v>8</v>
      </c>
      <c r="AB16" s="7" t="s">
        <v>9</v>
      </c>
      <c r="AC16" s="7" t="s">
        <v>10</v>
      </c>
      <c r="AD16" s="7" t="s">
        <v>11</v>
      </c>
      <c r="AE16" s="7" t="s">
        <v>12</v>
      </c>
      <c r="AF16" s="7" t="s">
        <v>13</v>
      </c>
      <c r="AG16" s="26" t="s">
        <v>14</v>
      </c>
      <c r="AH16" s="7" t="s">
        <v>7</v>
      </c>
      <c r="AI16" s="7" t="s">
        <v>15</v>
      </c>
      <c r="AJ16" s="7" t="s">
        <v>16</v>
      </c>
      <c r="AK16" s="7" t="s">
        <v>17</v>
      </c>
      <c r="AL16" s="7" t="s">
        <v>18</v>
      </c>
      <c r="AM16" s="7" t="s">
        <v>19</v>
      </c>
      <c r="AN16" s="7" t="s">
        <v>20</v>
      </c>
      <c r="AO16" s="31" t="s">
        <v>21</v>
      </c>
      <c r="AP16" s="6"/>
      <c r="AR16" t="s">
        <v>65</v>
      </c>
      <c r="AS16" t="s">
        <v>59</v>
      </c>
      <c r="AT16" t="s">
        <v>60</v>
      </c>
      <c r="AU16" t="s">
        <v>62</v>
      </c>
      <c r="AW16" t="s">
        <v>63</v>
      </c>
      <c r="AX16" s="53"/>
      <c r="AY16" s="53"/>
      <c r="AZ16" s="53"/>
      <c r="BB16" s="16" t="s">
        <v>6</v>
      </c>
      <c r="BC16">
        <v>2</v>
      </c>
      <c r="BD16" s="51">
        <v>0.9185446718500723</v>
      </c>
      <c r="BE16" t="s">
        <v>39</v>
      </c>
      <c r="BF16" t="s">
        <v>39</v>
      </c>
      <c r="BG16" t="s">
        <v>39</v>
      </c>
      <c r="BH16" t="s">
        <v>39</v>
      </c>
    </row>
    <row r="17" spans="2:60" ht="12.75">
      <c r="B17" s="16" t="s">
        <v>6</v>
      </c>
      <c r="C17">
        <v>2</v>
      </c>
      <c r="G17" s="19">
        <v>0</v>
      </c>
      <c r="H17" s="4">
        <v>0</v>
      </c>
      <c r="I17" s="4">
        <v>0</v>
      </c>
      <c r="J17" s="4">
        <v>0</v>
      </c>
      <c r="K17" s="4">
        <v>0.0031826546210101565</v>
      </c>
      <c r="L17" s="4">
        <v>1.419692429716164E-05</v>
      </c>
      <c r="M17" s="4">
        <v>0.0005733617637701137</v>
      </c>
      <c r="N17" s="27">
        <v>2.4200023654781606E-05</v>
      </c>
      <c r="O17" s="4">
        <v>0</v>
      </c>
      <c r="P17" s="4">
        <v>0</v>
      </c>
      <c r="Q17" s="4">
        <v>0</v>
      </c>
      <c r="R17" s="4">
        <v>0</v>
      </c>
      <c r="S17" s="4">
        <v>0</v>
      </c>
      <c r="T17" s="4">
        <v>0</v>
      </c>
      <c r="U17" s="4">
        <v>0</v>
      </c>
      <c r="V17" s="17">
        <v>1.225807144118649E-06</v>
      </c>
      <c r="W17" s="17">
        <v>0.003795639139876332</v>
      </c>
      <c r="X17" s="51">
        <v>0.9185446718500723</v>
      </c>
      <c r="Y17" s="18"/>
      <c r="Z17" s="19">
        <v>0</v>
      </c>
      <c r="AA17" s="4">
        <v>0</v>
      </c>
      <c r="AB17" s="4">
        <v>0</v>
      </c>
      <c r="AC17" s="4">
        <v>0</v>
      </c>
      <c r="AD17" s="4">
        <v>0.0001690069722246389</v>
      </c>
      <c r="AE17" s="4">
        <v>5.772282792430905E-09</v>
      </c>
      <c r="AF17" s="4">
        <v>2.6330617679405976E-06</v>
      </c>
      <c r="AG17" s="4">
        <v>8.509153024139379E-10</v>
      </c>
      <c r="AH17" s="19">
        <v>0</v>
      </c>
      <c r="AI17" s="17">
        <v>0</v>
      </c>
      <c r="AJ17" s="4">
        <v>0</v>
      </c>
      <c r="AK17" s="4">
        <v>0</v>
      </c>
      <c r="AL17" s="4">
        <v>0</v>
      </c>
      <c r="AM17" s="4">
        <v>0</v>
      </c>
      <c r="AN17" s="4">
        <v>0</v>
      </c>
      <c r="AO17" s="4">
        <v>1.6324161099897287E-11</v>
      </c>
      <c r="AP17" s="6">
        <v>0.00017164667351483545</v>
      </c>
      <c r="AQ17">
        <v>1.2732593880581182</v>
      </c>
      <c r="AR17">
        <v>1</v>
      </c>
      <c r="AS17">
        <v>1.169545626783868</v>
      </c>
      <c r="AT17">
        <v>0.9185446718500723</v>
      </c>
      <c r="AU17">
        <v>2</v>
      </c>
      <c r="AV17">
        <v>0</v>
      </c>
      <c r="AW17">
        <v>0</v>
      </c>
      <c r="AX17" s="53">
        <f>100*(C21+C22+C23+C24+C29+C30+C31+C32)/C33</f>
        <v>91.32231404958678</v>
      </c>
      <c r="AY17" s="53">
        <f>100*(X21+X22+X23+X24+X29+X30+X31+X32)/X33</f>
        <v>91.98449127041708</v>
      </c>
      <c r="AZ17" s="53" t="s">
        <v>93</v>
      </c>
      <c r="BB17" s="3" t="s">
        <v>7</v>
      </c>
      <c r="BC17">
        <v>7</v>
      </c>
      <c r="BD17" s="51">
        <v>0.3485581078931635</v>
      </c>
      <c r="BE17" t="s">
        <v>39</v>
      </c>
      <c r="BF17" t="s">
        <v>39</v>
      </c>
      <c r="BG17" t="s">
        <v>39</v>
      </c>
      <c r="BH17" t="s">
        <v>46</v>
      </c>
    </row>
    <row r="18" spans="2:60" ht="12.75">
      <c r="B18" s="16" t="s">
        <v>8</v>
      </c>
      <c r="C18">
        <v>1</v>
      </c>
      <c r="G18" s="19">
        <v>0</v>
      </c>
      <c r="H18" s="4">
        <v>0</v>
      </c>
      <c r="I18" s="4">
        <v>0</v>
      </c>
      <c r="J18" s="4">
        <v>0</v>
      </c>
      <c r="K18" s="4">
        <v>2.4368440437305338E-05</v>
      </c>
      <c r="L18" s="4">
        <v>0.0018541977208078276</v>
      </c>
      <c r="M18" s="4">
        <v>4.3900245716972375E-06</v>
      </c>
      <c r="N18" s="27">
        <v>0.003160658447207658</v>
      </c>
      <c r="O18" s="4">
        <v>0</v>
      </c>
      <c r="P18" s="4">
        <v>0</v>
      </c>
      <c r="Q18" s="4">
        <v>0</v>
      </c>
      <c r="R18" s="4">
        <v>0</v>
      </c>
      <c r="S18" s="4">
        <v>0</v>
      </c>
      <c r="T18" s="4">
        <v>0</v>
      </c>
      <c r="U18" s="4">
        <v>0</v>
      </c>
      <c r="V18" s="17">
        <v>0.0001600972693239736</v>
      </c>
      <c r="W18" s="17">
        <v>0.005203711902348461</v>
      </c>
      <c r="X18" s="51">
        <v>1.2592982803683277</v>
      </c>
      <c r="Y18" s="18"/>
      <c r="Z18" s="19">
        <v>0</v>
      </c>
      <c r="AA18" s="4">
        <v>0</v>
      </c>
      <c r="AB18" s="4">
        <v>0</v>
      </c>
      <c r="AC18" s="4">
        <v>0</v>
      </c>
      <c r="AD18" s="4">
        <v>9.9078875445407E-09</v>
      </c>
      <c r="AE18" s="4">
        <v>9.846256663567684E-05</v>
      </c>
      <c r="AF18" s="4">
        <v>1.5436096837418917E-10</v>
      </c>
      <c r="AG18" s="4">
        <v>1.4514760914886755E-05</v>
      </c>
      <c r="AH18" s="19">
        <v>0</v>
      </c>
      <c r="AI18" s="17">
        <v>0</v>
      </c>
      <c r="AJ18" s="4">
        <v>0</v>
      </c>
      <c r="AK18" s="4">
        <v>0</v>
      </c>
      <c r="AL18" s="4">
        <v>0</v>
      </c>
      <c r="AM18" s="4">
        <v>0</v>
      </c>
      <c r="AN18" s="4">
        <v>0</v>
      </c>
      <c r="AO18" s="4">
        <v>2.784546180200682E-07</v>
      </c>
      <c r="AP18" s="6">
        <v>0.00011326584441709657</v>
      </c>
      <c r="AQ18">
        <v>0.05339132058713395</v>
      </c>
      <c r="AR18">
        <v>1</v>
      </c>
      <c r="AS18">
        <v>0.06723559820197188</v>
      </c>
      <c r="AT18">
        <v>1.2592982803683277</v>
      </c>
      <c r="AU18">
        <v>1</v>
      </c>
      <c r="AV18">
        <v>0</v>
      </c>
      <c r="AW18">
        <v>0</v>
      </c>
      <c r="AX18" s="53">
        <f>100*(C19+C20+C23+C24+C27+C28+C31+C32)/C33</f>
        <v>83.05785123966942</v>
      </c>
      <c r="AY18" s="53">
        <f>100*(X19+X20+X23+X24+X27+X28+X31+X32)/X33</f>
        <v>84.06515069080601</v>
      </c>
      <c r="AZ18" s="53" t="s">
        <v>94</v>
      </c>
      <c r="BB18" s="16" t="s">
        <v>8</v>
      </c>
      <c r="BC18">
        <v>1</v>
      </c>
      <c r="BD18" s="51">
        <v>1.2592982803683277</v>
      </c>
      <c r="BE18" t="s">
        <v>39</v>
      </c>
      <c r="BF18" t="s">
        <v>39</v>
      </c>
      <c r="BG18" t="s">
        <v>46</v>
      </c>
      <c r="BH18" t="s">
        <v>39</v>
      </c>
    </row>
    <row r="19" spans="2:60" ht="12.75">
      <c r="B19" s="16" t="s">
        <v>9</v>
      </c>
      <c r="C19">
        <v>1</v>
      </c>
      <c r="G19" s="19">
        <v>0</v>
      </c>
      <c r="H19" s="4">
        <v>0</v>
      </c>
      <c r="I19" s="4">
        <v>0</v>
      </c>
      <c r="J19" s="4">
        <v>0</v>
      </c>
      <c r="K19" s="4">
        <v>0.00027523694082455833</v>
      </c>
      <c r="L19" s="4">
        <v>1.2277543365445E-06</v>
      </c>
      <c r="M19" s="4">
        <v>0.006629969296660141</v>
      </c>
      <c r="N19" s="27">
        <v>0.0002798327756539778</v>
      </c>
      <c r="O19" s="4">
        <v>0</v>
      </c>
      <c r="P19" s="4">
        <v>0</v>
      </c>
      <c r="Q19" s="4">
        <v>0</v>
      </c>
      <c r="R19" s="4">
        <v>0</v>
      </c>
      <c r="S19" s="4">
        <v>0</v>
      </c>
      <c r="T19" s="4">
        <v>0</v>
      </c>
      <c r="U19" s="4">
        <v>0</v>
      </c>
      <c r="V19" s="17">
        <v>1.4174408275316736E-05</v>
      </c>
      <c r="W19" s="17">
        <v>0.007200441175750538</v>
      </c>
      <c r="X19" s="51">
        <v>1.7425067645316303</v>
      </c>
      <c r="Y19" s="18"/>
      <c r="Z19" s="19">
        <v>0</v>
      </c>
      <c r="AA19" s="4">
        <v>0</v>
      </c>
      <c r="AB19" s="4">
        <v>0</v>
      </c>
      <c r="AC19" s="4">
        <v>0</v>
      </c>
      <c r="AD19" s="4">
        <v>1.2639766231440647E-06</v>
      </c>
      <c r="AE19" s="4">
        <v>4.316999716503852E-11</v>
      </c>
      <c r="AF19" s="4">
        <v>0.0003520680595920916</v>
      </c>
      <c r="AG19" s="4">
        <v>1.1377632801694745E-07</v>
      </c>
      <c r="AH19" s="19">
        <v>0</v>
      </c>
      <c r="AI19" s="17">
        <v>0</v>
      </c>
      <c r="AJ19" s="4">
        <v>0</v>
      </c>
      <c r="AK19" s="4">
        <v>0</v>
      </c>
      <c r="AL19" s="4">
        <v>0</v>
      </c>
      <c r="AM19" s="4">
        <v>0</v>
      </c>
      <c r="AN19" s="4">
        <v>0</v>
      </c>
      <c r="AO19" s="4">
        <v>2.1827120779641356E-09</v>
      </c>
      <c r="AP19" s="6">
        <v>0.0003534480384253278</v>
      </c>
      <c r="AQ19">
        <v>0.31639262848050903</v>
      </c>
      <c r="AR19">
        <v>1</v>
      </c>
      <c r="AS19">
        <v>0.55131629537523</v>
      </c>
      <c r="AT19">
        <v>1.7425067645316303</v>
      </c>
      <c r="AU19">
        <v>1</v>
      </c>
      <c r="AV19">
        <v>0</v>
      </c>
      <c r="AW19">
        <v>0</v>
      </c>
      <c r="AX19" s="53">
        <f>100*(C18+C20+C22+C24+C26+C28+C30+C32)/C33</f>
        <v>80.57851239669421</v>
      </c>
      <c r="AY19" s="53">
        <f>100*(X18+X20+X22+X24+X26+X28+X30+X32)/X33</f>
        <v>81.04233065521225</v>
      </c>
      <c r="AZ19" s="53" t="s">
        <v>95</v>
      </c>
      <c r="BB19" s="3" t="s">
        <v>15</v>
      </c>
      <c r="BC19">
        <v>3</v>
      </c>
      <c r="BD19" s="51">
        <v>0.5645662944553308</v>
      </c>
      <c r="BE19" t="s">
        <v>39</v>
      </c>
      <c r="BF19" t="s">
        <v>39</v>
      </c>
      <c r="BG19" t="s">
        <v>46</v>
      </c>
      <c r="BH19" t="s">
        <v>46</v>
      </c>
    </row>
    <row r="20" spans="2:60" ht="12.75">
      <c r="B20" s="16" t="s">
        <v>10</v>
      </c>
      <c r="C20">
        <v>3</v>
      </c>
      <c r="G20" s="19">
        <v>0</v>
      </c>
      <c r="H20" s="4">
        <v>0</v>
      </c>
      <c r="I20" s="4">
        <v>0</v>
      </c>
      <c r="J20" s="4">
        <v>0</v>
      </c>
      <c r="K20" s="4">
        <v>2.1073901498305176E-06</v>
      </c>
      <c r="L20" s="4">
        <v>0.00016035158354601317</v>
      </c>
      <c r="M20" s="4">
        <v>5.0763287615401685E-05</v>
      </c>
      <c r="N20" s="27">
        <v>0.03654772568792731</v>
      </c>
      <c r="O20" s="4">
        <v>0</v>
      </c>
      <c r="P20" s="4">
        <v>0</v>
      </c>
      <c r="Q20" s="4">
        <v>0</v>
      </c>
      <c r="R20" s="4">
        <v>0</v>
      </c>
      <c r="S20" s="4">
        <v>0</v>
      </c>
      <c r="T20" s="4">
        <v>0</v>
      </c>
      <c r="U20" s="4">
        <v>0</v>
      </c>
      <c r="V20" s="17">
        <v>0.0018512570024161103</v>
      </c>
      <c r="W20" s="17">
        <v>0.03861220495165466</v>
      </c>
      <c r="X20" s="51">
        <v>9.344153598300428</v>
      </c>
      <c r="Y20" s="18"/>
      <c r="Z20" s="19">
        <v>0</v>
      </c>
      <c r="AA20" s="4">
        <v>0</v>
      </c>
      <c r="AB20" s="4">
        <v>0</v>
      </c>
      <c r="AC20" s="4">
        <v>0</v>
      </c>
      <c r="AD20" s="4">
        <v>7.409953610904319E-11</v>
      </c>
      <c r="AE20" s="4">
        <v>7.363860842192905E-07</v>
      </c>
      <c r="AF20" s="4">
        <v>2.0639685431596397E-08</v>
      </c>
      <c r="AG20" s="4">
        <v>0.0019407762373702885</v>
      </c>
      <c r="AH20" s="19">
        <v>0</v>
      </c>
      <c r="AI20" s="17">
        <v>0</v>
      </c>
      <c r="AJ20" s="4">
        <v>0</v>
      </c>
      <c r="AK20" s="4">
        <v>0</v>
      </c>
      <c r="AL20" s="4">
        <v>0</v>
      </c>
      <c r="AM20" s="4">
        <v>0</v>
      </c>
      <c r="AN20" s="4">
        <v>0</v>
      </c>
      <c r="AO20" s="4">
        <v>3.7232311920832295E-05</v>
      </c>
      <c r="AP20" s="6">
        <v>0.001978765649160308</v>
      </c>
      <c r="AQ20">
        <v>4.307322697065776</v>
      </c>
      <c r="AR20">
        <v>0</v>
      </c>
      <c r="AS20">
        <v>40.24828487882827</v>
      </c>
      <c r="AT20">
        <v>0</v>
      </c>
      <c r="AU20">
        <v>0</v>
      </c>
      <c r="AV20">
        <v>4.307322697065776</v>
      </c>
      <c r="AW20">
        <v>1</v>
      </c>
      <c r="AX20" s="53">
        <f>100*(C25+C26+C27+C28+C29+C30+C31+C32)/C33</f>
        <v>35.12396694214876</v>
      </c>
      <c r="AY20" s="53">
        <f>100*(X25+X26+X27+X28+X29+X30+X31+X32)/X33</f>
        <v>31.61756911656208</v>
      </c>
      <c r="AZ20" s="53" t="s">
        <v>96</v>
      </c>
      <c r="BB20" s="16" t="s">
        <v>9</v>
      </c>
      <c r="BC20">
        <v>1</v>
      </c>
      <c r="BD20" s="51">
        <v>1.7425067645316303</v>
      </c>
      <c r="BE20" t="s">
        <v>39</v>
      </c>
      <c r="BF20" t="s">
        <v>46</v>
      </c>
      <c r="BG20" t="s">
        <v>39</v>
      </c>
      <c r="BH20" t="s">
        <v>39</v>
      </c>
    </row>
    <row r="21" spans="2:60" ht="12.75">
      <c r="B21" s="3" t="s">
        <v>11</v>
      </c>
      <c r="C21">
        <v>6</v>
      </c>
      <c r="G21" s="19">
        <v>0</v>
      </c>
      <c r="H21" s="4">
        <v>0</v>
      </c>
      <c r="I21" s="4">
        <v>0</v>
      </c>
      <c r="J21" s="4">
        <v>0</v>
      </c>
      <c r="K21" s="4">
        <v>0.03652355403501546</v>
      </c>
      <c r="L21" s="4">
        <v>0.00016292126964559888</v>
      </c>
      <c r="M21" s="4">
        <v>0.006579793240028945</v>
      </c>
      <c r="N21" s="27">
        <v>0.00027771498225702315</v>
      </c>
      <c r="O21" s="4">
        <v>0</v>
      </c>
      <c r="P21" s="4">
        <v>0</v>
      </c>
      <c r="Q21" s="4">
        <v>0</v>
      </c>
      <c r="R21" s="4">
        <v>0</v>
      </c>
      <c r="S21" s="4">
        <v>0</v>
      </c>
      <c r="T21" s="4">
        <v>0</v>
      </c>
      <c r="U21" s="4">
        <v>0</v>
      </c>
      <c r="V21" s="17">
        <v>1.4067135393571374E-05</v>
      </c>
      <c r="W21" s="17">
        <v>0.04355805066234061</v>
      </c>
      <c r="X21" s="51">
        <v>10.541048260286427</v>
      </c>
      <c r="Y21" s="18"/>
      <c r="Z21" s="19">
        <v>0</v>
      </c>
      <c r="AA21" s="4">
        <v>0</v>
      </c>
      <c r="AB21" s="4">
        <v>0</v>
      </c>
      <c r="AC21" s="4">
        <v>0</v>
      </c>
      <c r="AD21" s="4">
        <v>0.02225725800229604</v>
      </c>
      <c r="AE21" s="4">
        <v>7.60176847630778E-07</v>
      </c>
      <c r="AF21" s="4">
        <v>0.00034675927468329513</v>
      </c>
      <c r="AG21" s="4">
        <v>1.120607107188192E-07</v>
      </c>
      <c r="AH21" s="19">
        <v>0</v>
      </c>
      <c r="AI21" s="17">
        <v>0</v>
      </c>
      <c r="AJ21" s="4">
        <v>0</v>
      </c>
      <c r="AK21" s="4">
        <v>0</v>
      </c>
      <c r="AL21" s="4">
        <v>0</v>
      </c>
      <c r="AM21" s="4">
        <v>0</v>
      </c>
      <c r="AN21" s="4">
        <v>0</v>
      </c>
      <c r="AO21" s="4">
        <v>2.149799268568222E-09</v>
      </c>
      <c r="AP21" s="6">
        <v>0.022604891664336952</v>
      </c>
      <c r="AQ21">
        <v>1.9562683703802772</v>
      </c>
      <c r="AR21">
        <v>0</v>
      </c>
      <c r="AS21">
        <v>20.621119302250385</v>
      </c>
      <c r="AT21">
        <v>0</v>
      </c>
      <c r="AU21">
        <v>0</v>
      </c>
      <c r="AV21">
        <v>1.9562683703802772</v>
      </c>
      <c r="AW21">
        <v>1</v>
      </c>
      <c r="AX21" s="15"/>
      <c r="BB21" s="3" t="s">
        <v>16</v>
      </c>
      <c r="BC21">
        <v>2</v>
      </c>
      <c r="BD21" s="51">
        <v>0.6677102675669176</v>
      </c>
      <c r="BE21" t="s">
        <v>39</v>
      </c>
      <c r="BF21" t="s">
        <v>46</v>
      </c>
      <c r="BG21" t="s">
        <v>39</v>
      </c>
      <c r="BH21" t="s">
        <v>46</v>
      </c>
    </row>
    <row r="22" spans="1:60" ht="13.5" thickBot="1">
      <c r="A22" s="15"/>
      <c r="B22" s="16" t="s">
        <v>12</v>
      </c>
      <c r="C22">
        <v>15</v>
      </c>
      <c r="G22" s="19">
        <v>0</v>
      </c>
      <c r="H22" s="17">
        <v>0</v>
      </c>
      <c r="I22" s="17">
        <v>0</v>
      </c>
      <c r="J22" s="17">
        <v>0</v>
      </c>
      <c r="K22" s="17">
        <v>0.0002796477020112504</v>
      </c>
      <c r="L22" s="17">
        <v>0.021278429082585364</v>
      </c>
      <c r="M22" s="17">
        <v>5.037910761694238E-05</v>
      </c>
      <c r="N22" s="27">
        <v>0.0362711300248399</v>
      </c>
      <c r="O22" s="17">
        <v>0</v>
      </c>
      <c r="P22" s="17">
        <v>0</v>
      </c>
      <c r="Q22" s="17">
        <v>0</v>
      </c>
      <c r="R22" s="17">
        <v>0</v>
      </c>
      <c r="S22" s="17">
        <v>0</v>
      </c>
      <c r="T22" s="17">
        <v>0</v>
      </c>
      <c r="U22" s="17">
        <v>0</v>
      </c>
      <c r="V22" s="17">
        <v>0.0018372465640511964</v>
      </c>
      <c r="W22" s="17">
        <v>0.059716832481104654</v>
      </c>
      <c r="X22" s="51">
        <v>14.451473460427327</v>
      </c>
      <c r="Y22" s="18"/>
      <c r="Z22" s="19">
        <v>0</v>
      </c>
      <c r="AA22" s="4">
        <v>0</v>
      </c>
      <c r="AB22" s="4">
        <v>0</v>
      </c>
      <c r="AC22" s="17">
        <v>0</v>
      </c>
      <c r="AD22" s="17">
        <v>1.3048124963949185E-06</v>
      </c>
      <c r="AE22" s="17">
        <v>0.012966960595363137</v>
      </c>
      <c r="AF22" s="17">
        <v>2.0328462508765754E-08</v>
      </c>
      <c r="AG22" s="17">
        <v>0.0019115115445940132</v>
      </c>
      <c r="AH22" s="19">
        <v>0</v>
      </c>
      <c r="AI22" s="17">
        <v>0</v>
      </c>
      <c r="AJ22" s="17">
        <v>0</v>
      </c>
      <c r="AK22" s="17">
        <v>0</v>
      </c>
      <c r="AL22" s="17">
        <v>0</v>
      </c>
      <c r="AM22" s="17">
        <v>0</v>
      </c>
      <c r="AN22" s="17">
        <v>0</v>
      </c>
      <c r="AO22" s="17">
        <v>3.667089110954393E-05</v>
      </c>
      <c r="AP22" s="6">
        <v>0.014916468172025599</v>
      </c>
      <c r="AQ22">
        <v>0.02082011674722854</v>
      </c>
      <c r="AR22">
        <v>0</v>
      </c>
      <c r="AS22">
        <v>0.30088136461557174</v>
      </c>
      <c r="AT22">
        <v>0</v>
      </c>
      <c r="AU22">
        <v>0</v>
      </c>
      <c r="AV22">
        <v>0.02082011674722854</v>
      </c>
      <c r="AW22">
        <v>1</v>
      </c>
      <c r="AX22" s="11"/>
      <c r="BB22" s="16" t="s">
        <v>10</v>
      </c>
      <c r="BC22">
        <v>3</v>
      </c>
      <c r="BD22" s="51">
        <v>9.344153598300428</v>
      </c>
      <c r="BE22" t="s">
        <v>39</v>
      </c>
      <c r="BF22" t="s">
        <v>46</v>
      </c>
      <c r="BG22" t="s">
        <v>46</v>
      </c>
      <c r="BH22" t="s">
        <v>39</v>
      </c>
    </row>
    <row r="23" spans="1:60" ht="13.5" thickBot="1">
      <c r="A23" s="15"/>
      <c r="B23" s="16" t="s">
        <v>13</v>
      </c>
      <c r="C23">
        <v>25</v>
      </c>
      <c r="G23" s="19">
        <v>0</v>
      </c>
      <c r="H23" s="17">
        <v>0</v>
      </c>
      <c r="I23" s="17">
        <v>0</v>
      </c>
      <c r="J23" s="17">
        <v>0</v>
      </c>
      <c r="K23" s="17">
        <v>0.0031585680753029558</v>
      </c>
      <c r="L23" s="17">
        <v>1.408948101263813E-05</v>
      </c>
      <c r="M23" s="17">
        <v>0.07608429776153439</v>
      </c>
      <c r="N23" s="27">
        <v>0.0032113090232588582</v>
      </c>
      <c r="O23" s="17">
        <v>0</v>
      </c>
      <c r="P23" s="17">
        <v>0</v>
      </c>
      <c r="Q23" s="17">
        <v>0</v>
      </c>
      <c r="R23" s="17">
        <v>0</v>
      </c>
      <c r="S23" s="17">
        <v>0</v>
      </c>
      <c r="T23" s="17">
        <v>0</v>
      </c>
      <c r="U23" s="17">
        <v>0</v>
      </c>
      <c r="V23" s="17">
        <v>0.00016266287995572265</v>
      </c>
      <c r="W23" s="17">
        <v>0.08263092722106458</v>
      </c>
      <c r="X23" s="51">
        <v>19.996684387497627</v>
      </c>
      <c r="Y23" s="18"/>
      <c r="Z23" s="19">
        <v>0</v>
      </c>
      <c r="AA23" s="4">
        <v>0</v>
      </c>
      <c r="AB23" s="4">
        <v>0</v>
      </c>
      <c r="AC23" s="17">
        <v>0</v>
      </c>
      <c r="AD23" s="17">
        <v>0.00016645853978612958</v>
      </c>
      <c r="AE23" s="17">
        <v>5.685243349508231E-09</v>
      </c>
      <c r="AF23" s="17">
        <v>0.04636536311823547</v>
      </c>
      <c r="AG23" s="17">
        <v>1.4983695961733116E-05</v>
      </c>
      <c r="AH23" s="19">
        <v>0</v>
      </c>
      <c r="AI23" s="17">
        <v>0</v>
      </c>
      <c r="AJ23" s="17">
        <v>0</v>
      </c>
      <c r="AK23" s="17">
        <v>0</v>
      </c>
      <c r="AL23" s="17">
        <v>0</v>
      </c>
      <c r="AM23" s="17">
        <v>0</v>
      </c>
      <c r="AN23" s="17">
        <v>0</v>
      </c>
      <c r="AO23" s="17">
        <v>2.8745077924597595E-07</v>
      </c>
      <c r="AP23" s="6">
        <v>0.046547098490005934</v>
      </c>
      <c r="AQ23">
        <v>1.2518658910254787</v>
      </c>
      <c r="AR23">
        <v>0</v>
      </c>
      <c r="AS23">
        <v>25.033167118309997</v>
      </c>
      <c r="AT23">
        <v>0</v>
      </c>
      <c r="AU23">
        <v>0</v>
      </c>
      <c r="AV23">
        <v>1.2518658910254787</v>
      </c>
      <c r="AW23">
        <v>1</v>
      </c>
      <c r="BB23" s="12" t="s">
        <v>17</v>
      </c>
      <c r="BC23">
        <v>2</v>
      </c>
      <c r="BD23" s="52">
        <v>4.552193140624886</v>
      </c>
      <c r="BE23" t="s">
        <v>39</v>
      </c>
      <c r="BF23" t="s">
        <v>46</v>
      </c>
      <c r="BG23" t="s">
        <v>46</v>
      </c>
      <c r="BH23" t="s">
        <v>46</v>
      </c>
    </row>
    <row r="24" spans="1:60" ht="13.5" thickBot="1">
      <c r="A24" s="11" t="s">
        <v>4</v>
      </c>
      <c r="B24" s="12" t="s">
        <v>14</v>
      </c>
      <c r="C24">
        <v>104</v>
      </c>
      <c r="G24" s="20">
        <v>0</v>
      </c>
      <c r="H24" s="13">
        <v>0</v>
      </c>
      <c r="I24" s="13">
        <v>0</v>
      </c>
      <c r="J24" s="13">
        <v>0</v>
      </c>
      <c r="K24" s="13">
        <v>2.4184018429798893E-05</v>
      </c>
      <c r="L24" s="13">
        <v>0.0018401650268869741</v>
      </c>
      <c r="M24" s="13">
        <v>0.0005825500718729221</v>
      </c>
      <c r="N24" s="28">
        <v>0.41941492023921245</v>
      </c>
      <c r="O24" s="13">
        <v>0</v>
      </c>
      <c r="P24" s="13">
        <v>0</v>
      </c>
      <c r="Q24" s="13">
        <v>0</v>
      </c>
      <c r="R24" s="13">
        <v>0</v>
      </c>
      <c r="S24" s="13">
        <v>0</v>
      </c>
      <c r="T24" s="13">
        <v>0</v>
      </c>
      <c r="U24" s="13">
        <v>0</v>
      </c>
      <c r="V24" s="13">
        <v>0.021244681943837534</v>
      </c>
      <c r="W24" s="13">
        <v>0.4431065013002397</v>
      </c>
      <c r="X24" s="52">
        <v>107.23177331465801</v>
      </c>
      <c r="Y24" s="14"/>
      <c r="Z24" s="20">
        <v>0</v>
      </c>
      <c r="AA24" s="13">
        <v>0</v>
      </c>
      <c r="AB24" s="13">
        <v>0</v>
      </c>
      <c r="AC24" s="13">
        <v>0</v>
      </c>
      <c r="AD24" s="13">
        <v>9.75848789739449E-09</v>
      </c>
      <c r="AE24" s="13">
        <v>9.697786339834693E-05</v>
      </c>
      <c r="AF24" s="13">
        <v>2.7181293037228918E-06</v>
      </c>
      <c r="AG24" s="13">
        <v>0.25558920363628884</v>
      </c>
      <c r="AH24" s="20">
        <v>0</v>
      </c>
      <c r="AI24" s="13">
        <v>0</v>
      </c>
      <c r="AJ24" s="13">
        <v>0</v>
      </c>
      <c r="AK24" s="13">
        <v>0</v>
      </c>
      <c r="AL24" s="13">
        <v>0</v>
      </c>
      <c r="AM24" s="13">
        <v>0</v>
      </c>
      <c r="AN24" s="13">
        <v>0</v>
      </c>
      <c r="AO24" s="13">
        <v>0.004903283938738685</v>
      </c>
      <c r="AP24" s="6">
        <v>0.26059219332621747</v>
      </c>
      <c r="AQ24">
        <v>0.09739985113076516</v>
      </c>
      <c r="AR24">
        <v>0</v>
      </c>
      <c r="AS24">
        <v>10.444358757335646</v>
      </c>
      <c r="AT24">
        <v>0</v>
      </c>
      <c r="AU24">
        <v>0</v>
      </c>
      <c r="AV24">
        <v>0.09739985113076516</v>
      </c>
      <c r="AW24">
        <v>1</v>
      </c>
      <c r="BB24" s="3" t="s">
        <v>11</v>
      </c>
      <c r="BC24">
        <v>6</v>
      </c>
      <c r="BD24" s="51">
        <v>10.541048260286427</v>
      </c>
      <c r="BE24" t="s">
        <v>46</v>
      </c>
      <c r="BF24" t="s">
        <v>39</v>
      </c>
      <c r="BG24" t="s">
        <v>39</v>
      </c>
      <c r="BH24" t="s">
        <v>39</v>
      </c>
    </row>
    <row r="25" spans="2:60" ht="12.75">
      <c r="B25" s="3" t="s">
        <v>7</v>
      </c>
      <c r="C25">
        <v>7</v>
      </c>
      <c r="G25" s="19">
        <v>0</v>
      </c>
      <c r="H25" s="4">
        <v>0</v>
      </c>
      <c r="I25" s="4">
        <v>0</v>
      </c>
      <c r="J25" s="4">
        <v>0</v>
      </c>
      <c r="K25" s="4">
        <v>0.0012053903005705936</v>
      </c>
      <c r="L25" s="4">
        <v>5.376906037106255E-06</v>
      </c>
      <c r="M25" s="4">
        <v>0.00021715353724030027</v>
      </c>
      <c r="N25" s="27">
        <v>9.165453767582902E-06</v>
      </c>
      <c r="O25" s="4">
        <v>0</v>
      </c>
      <c r="P25" s="4">
        <v>0</v>
      </c>
      <c r="Q25" s="4">
        <v>0</v>
      </c>
      <c r="R25" s="4">
        <v>0</v>
      </c>
      <c r="S25" s="4">
        <v>0</v>
      </c>
      <c r="T25" s="4">
        <v>0</v>
      </c>
      <c r="U25" s="4">
        <v>0</v>
      </c>
      <c r="V25" s="17">
        <v>3.236562273522294E-06</v>
      </c>
      <c r="W25" s="17">
        <v>0.0014403227598891054</v>
      </c>
      <c r="X25" s="51">
        <v>0.3485581078931635</v>
      </c>
      <c r="Y25" s="18"/>
      <c r="Z25" s="19">
        <v>0</v>
      </c>
      <c r="AA25" s="4">
        <v>0</v>
      </c>
      <c r="AB25" s="19">
        <v>0</v>
      </c>
      <c r="AC25" s="4">
        <v>0</v>
      </c>
      <c r="AD25" s="4">
        <v>2.424269974326477E-05</v>
      </c>
      <c r="AE25" s="4">
        <v>8.279878440998164E-10</v>
      </c>
      <c r="AF25" s="4">
        <v>3.776916715649431E-07</v>
      </c>
      <c r="AG25" s="4">
        <v>1.220570010327839E-10</v>
      </c>
      <c r="AH25" s="19">
        <v>0</v>
      </c>
      <c r="AI25" s="17">
        <v>0</v>
      </c>
      <c r="AJ25" s="4">
        <v>0</v>
      </c>
      <c r="AK25" s="4">
        <v>0</v>
      </c>
      <c r="AL25" s="4">
        <v>0</v>
      </c>
      <c r="AM25" s="4">
        <v>0</v>
      </c>
      <c r="AN25" s="4">
        <v>0</v>
      </c>
      <c r="AO25" s="4">
        <v>1.1380320965973945E-10</v>
      </c>
      <c r="AP25" s="6">
        <v>2.4621455262884503E-05</v>
      </c>
      <c r="AQ25">
        <v>126.92770084015456</v>
      </c>
      <c r="AR25">
        <v>1</v>
      </c>
      <c r="AS25">
        <v>44.24167924407377</v>
      </c>
      <c r="AT25">
        <v>0.3485581078931635</v>
      </c>
      <c r="AU25">
        <v>7</v>
      </c>
      <c r="AV25">
        <v>0</v>
      </c>
      <c r="AW25">
        <v>0</v>
      </c>
      <c r="BB25" s="3" t="s">
        <v>18</v>
      </c>
      <c r="BC25">
        <v>2</v>
      </c>
      <c r="BD25" s="51">
        <v>3.999988187200185</v>
      </c>
      <c r="BE25" t="s">
        <v>46</v>
      </c>
      <c r="BF25" t="s">
        <v>39</v>
      </c>
      <c r="BG25" t="s">
        <v>39</v>
      </c>
      <c r="BH25" t="s">
        <v>46</v>
      </c>
    </row>
    <row r="26" spans="2:60" ht="12.75">
      <c r="B26" s="3" t="s">
        <v>15</v>
      </c>
      <c r="C26">
        <v>3</v>
      </c>
      <c r="G26" s="19">
        <v>0</v>
      </c>
      <c r="H26" s="4">
        <v>0</v>
      </c>
      <c r="I26" s="4">
        <v>0</v>
      </c>
      <c r="J26" s="4">
        <v>0</v>
      </c>
      <c r="K26" s="4">
        <v>9.22923950002376E-06</v>
      </c>
      <c r="L26" s="4">
        <v>0.0007022540030725892</v>
      </c>
      <c r="M26" s="4">
        <v>1.6626664429930729E-06</v>
      </c>
      <c r="N26" s="27">
        <v>0.0011970595271413415</v>
      </c>
      <c r="O26" s="4">
        <v>0</v>
      </c>
      <c r="P26" s="4">
        <v>0</v>
      </c>
      <c r="Q26" s="4">
        <v>0</v>
      </c>
      <c r="R26" s="4">
        <v>0</v>
      </c>
      <c r="S26" s="4">
        <v>0</v>
      </c>
      <c r="T26" s="4">
        <v>0</v>
      </c>
      <c r="U26" s="4">
        <v>0</v>
      </c>
      <c r="V26" s="17">
        <v>0.0004227131359725185</v>
      </c>
      <c r="W26" s="17">
        <v>0.002332918572129466</v>
      </c>
      <c r="X26" s="51">
        <v>0.5645662944553308</v>
      </c>
      <c r="Y26" s="18"/>
      <c r="Z26" s="19">
        <v>0</v>
      </c>
      <c r="AA26" s="4">
        <v>0</v>
      </c>
      <c r="AB26" s="19">
        <v>0</v>
      </c>
      <c r="AC26" s="4">
        <v>0</v>
      </c>
      <c r="AD26" s="4">
        <v>1.4212073009217307E-09</v>
      </c>
      <c r="AE26" s="4">
        <v>1.412366843497549E-05</v>
      </c>
      <c r="AF26" s="4">
        <v>2.214184751739789E-11</v>
      </c>
      <c r="AG26" s="4">
        <v>2.0820264754354064E-06</v>
      </c>
      <c r="AH26" s="19">
        <v>0</v>
      </c>
      <c r="AI26" s="17">
        <v>0</v>
      </c>
      <c r="AJ26" s="4">
        <v>0</v>
      </c>
      <c r="AK26" s="4">
        <v>0</v>
      </c>
      <c r="AL26" s="4">
        <v>0</v>
      </c>
      <c r="AM26" s="4">
        <v>0</v>
      </c>
      <c r="AN26" s="4">
        <v>0</v>
      </c>
      <c r="AO26" s="4">
        <v>1.9412347796212256E-06</v>
      </c>
      <c r="AP26" s="6">
        <v>1.814837303918056E-05</v>
      </c>
      <c r="AQ26">
        <v>10.506006809750016</v>
      </c>
      <c r="AR26">
        <v>1</v>
      </c>
      <c r="AS26">
        <v>5.931337334103038</v>
      </c>
      <c r="AT26">
        <v>0.5645662944553308</v>
      </c>
      <c r="AU26">
        <v>3</v>
      </c>
      <c r="AV26">
        <v>0</v>
      </c>
      <c r="AW26">
        <v>0</v>
      </c>
      <c r="BB26" s="16" t="s">
        <v>12</v>
      </c>
      <c r="BC26">
        <v>15</v>
      </c>
      <c r="BD26" s="51">
        <v>14.451473460427327</v>
      </c>
      <c r="BE26" t="s">
        <v>46</v>
      </c>
      <c r="BF26" t="s">
        <v>39</v>
      </c>
      <c r="BG26" t="s">
        <v>46</v>
      </c>
      <c r="BH26" t="s">
        <v>39</v>
      </c>
    </row>
    <row r="27" spans="2:60" ht="12.75">
      <c r="B27" s="3" t="s">
        <v>16</v>
      </c>
      <c r="C27">
        <v>2</v>
      </c>
      <c r="G27" s="19">
        <v>0</v>
      </c>
      <c r="H27" s="4">
        <v>0</v>
      </c>
      <c r="I27" s="4">
        <v>0</v>
      </c>
      <c r="J27" s="4">
        <v>0</v>
      </c>
      <c r="K27" s="4">
        <v>0.00010424252026547063</v>
      </c>
      <c r="L27" s="4">
        <v>4.649964714941344E-07</v>
      </c>
      <c r="M27" s="4">
        <v>0.0025110172591515613</v>
      </c>
      <c r="N27" s="27">
        <v>0.0001059831347480589</v>
      </c>
      <c r="O27" s="4">
        <v>0</v>
      </c>
      <c r="P27" s="4">
        <v>0</v>
      </c>
      <c r="Q27" s="4">
        <v>0</v>
      </c>
      <c r="R27" s="4">
        <v>0</v>
      </c>
      <c r="S27" s="4">
        <v>0</v>
      </c>
      <c r="T27" s="4">
        <v>0</v>
      </c>
      <c r="U27" s="4">
        <v>0</v>
      </c>
      <c r="V27" s="17">
        <v>3.742542641679355E-05</v>
      </c>
      <c r="W27" s="17">
        <v>0.0027591333370533787</v>
      </c>
      <c r="X27" s="51">
        <v>0.6677102675669176</v>
      </c>
      <c r="Y27" s="18"/>
      <c r="Z27" s="19">
        <v>0</v>
      </c>
      <c r="AA27" s="4">
        <v>0</v>
      </c>
      <c r="AB27" s="19">
        <v>0</v>
      </c>
      <c r="AC27" s="4">
        <v>0</v>
      </c>
      <c r="AD27" s="4">
        <v>1.8130734699310858E-07</v>
      </c>
      <c r="AE27" s="4">
        <v>6.192391150576722E-12</v>
      </c>
      <c r="AF27" s="4">
        <v>5.050135000667519E-05</v>
      </c>
      <c r="AG27" s="4">
        <v>1.632030514303211E-08</v>
      </c>
      <c r="AH27" s="19">
        <v>0</v>
      </c>
      <c r="AI27" s="17">
        <v>0</v>
      </c>
      <c r="AJ27" s="4">
        <v>0</v>
      </c>
      <c r="AK27" s="4">
        <v>0</v>
      </c>
      <c r="AL27" s="4">
        <v>0</v>
      </c>
      <c r="AM27" s="4">
        <v>0</v>
      </c>
      <c r="AN27" s="4">
        <v>0</v>
      </c>
      <c r="AO27" s="4">
        <v>1.521668640215521E-08</v>
      </c>
      <c r="AP27" s="6">
        <v>5.071420053760464E-05</v>
      </c>
      <c r="AQ27">
        <v>2.6583325393730375</v>
      </c>
      <c r="AR27">
        <v>1</v>
      </c>
      <c r="AS27">
        <v>1.7749959311466144</v>
      </c>
      <c r="AT27">
        <v>0.6677102675669176</v>
      </c>
      <c r="AU27">
        <v>2</v>
      </c>
      <c r="AV27">
        <v>0</v>
      </c>
      <c r="AW27">
        <v>0</v>
      </c>
      <c r="BB27" s="3" t="s">
        <v>19</v>
      </c>
      <c r="BC27">
        <v>5</v>
      </c>
      <c r="BD27" s="51">
        <v>6.478858065768715</v>
      </c>
      <c r="BE27" t="s">
        <v>46</v>
      </c>
      <c r="BF27" t="s">
        <v>39</v>
      </c>
      <c r="BG27" t="s">
        <v>46</v>
      </c>
      <c r="BH27" t="s">
        <v>46</v>
      </c>
    </row>
    <row r="28" spans="2:60" ht="12.75">
      <c r="B28" s="3" t="s">
        <v>17</v>
      </c>
      <c r="C28">
        <v>2</v>
      </c>
      <c r="G28" s="19">
        <v>0</v>
      </c>
      <c r="H28" s="4">
        <v>0</v>
      </c>
      <c r="I28" s="4">
        <v>0</v>
      </c>
      <c r="J28" s="4">
        <v>0</v>
      </c>
      <c r="K28" s="4">
        <v>7.981474425011475E-07</v>
      </c>
      <c r="L28" s="4">
        <v>6.073114003999324E-05</v>
      </c>
      <c r="M28" s="4">
        <v>1.9225954997674016E-05</v>
      </c>
      <c r="N28" s="27">
        <v>0.013841990193129946</v>
      </c>
      <c r="O28" s="4">
        <v>0</v>
      </c>
      <c r="P28" s="4">
        <v>0</v>
      </c>
      <c r="Q28" s="4">
        <v>0</v>
      </c>
      <c r="R28" s="4">
        <v>0</v>
      </c>
      <c r="S28" s="4">
        <v>0</v>
      </c>
      <c r="T28" s="4">
        <v>0</v>
      </c>
      <c r="U28" s="4">
        <v>0</v>
      </c>
      <c r="V28" s="17">
        <v>0.004887970021517512</v>
      </c>
      <c r="W28" s="17">
        <v>0.018810715457127626</v>
      </c>
      <c r="X28" s="51">
        <v>4.552193140624886</v>
      </c>
      <c r="Y28" s="18"/>
      <c r="Z28" s="19">
        <v>0</v>
      </c>
      <c r="AA28" s="4">
        <v>0</v>
      </c>
      <c r="AB28" s="19">
        <v>0</v>
      </c>
      <c r="AC28" s="4">
        <v>0</v>
      </c>
      <c r="AD28" s="4">
        <v>1.062898637471036E-11</v>
      </c>
      <c r="AE28" s="4">
        <v>1.056286998096056E-07</v>
      </c>
      <c r="AF28" s="4">
        <v>2.960597957157424E-09</v>
      </c>
      <c r="AG28" s="4">
        <v>0.00027838884379807754</v>
      </c>
      <c r="AH28" s="19">
        <v>0</v>
      </c>
      <c r="AI28" s="17">
        <v>0</v>
      </c>
      <c r="AJ28" s="4">
        <v>0</v>
      </c>
      <c r="AK28" s="4">
        <v>0</v>
      </c>
      <c r="AL28" s="4">
        <v>0</v>
      </c>
      <c r="AM28" s="4">
        <v>0</v>
      </c>
      <c r="AN28" s="4">
        <v>0</v>
      </c>
      <c r="AO28" s="4">
        <v>0.00025956351286376094</v>
      </c>
      <c r="AP28" s="6">
        <v>0.0005380609565885917</v>
      </c>
      <c r="AQ28">
        <v>1.4308904797828008</v>
      </c>
      <c r="AR28">
        <v>0</v>
      </c>
      <c r="AS28">
        <v>6.513689827052718</v>
      </c>
      <c r="AT28">
        <v>0</v>
      </c>
      <c r="AU28">
        <v>0</v>
      </c>
      <c r="AV28">
        <v>1.4308904797828008</v>
      </c>
      <c r="AW28">
        <v>1</v>
      </c>
      <c r="BB28" s="16" t="s">
        <v>13</v>
      </c>
      <c r="BC28">
        <v>25</v>
      </c>
      <c r="BD28" s="51">
        <v>19.996684387497627</v>
      </c>
      <c r="BE28" t="s">
        <v>46</v>
      </c>
      <c r="BF28" t="s">
        <v>46</v>
      </c>
      <c r="BG28" t="s">
        <v>39</v>
      </c>
      <c r="BH28" t="s">
        <v>39</v>
      </c>
    </row>
    <row r="29" spans="2:60" ht="12.75">
      <c r="B29" s="3" t="s">
        <v>18</v>
      </c>
      <c r="C29">
        <v>2</v>
      </c>
      <c r="G29" s="19">
        <v>0</v>
      </c>
      <c r="H29" s="4">
        <v>0</v>
      </c>
      <c r="I29" s="4">
        <v>0</v>
      </c>
      <c r="J29" s="4">
        <v>0</v>
      </c>
      <c r="K29" s="4">
        <v>0.013832835484423463</v>
      </c>
      <c r="L29" s="4">
        <v>6.170437624335123E-05</v>
      </c>
      <c r="M29" s="4">
        <v>0.0024920137104834598</v>
      </c>
      <c r="N29" s="27">
        <v>0.00010518104720690705</v>
      </c>
      <c r="O29" s="4">
        <v>0</v>
      </c>
      <c r="P29" s="4">
        <v>0</v>
      </c>
      <c r="Q29" s="4">
        <v>0</v>
      </c>
      <c r="R29" s="4">
        <v>0</v>
      </c>
      <c r="S29" s="4">
        <v>0</v>
      </c>
      <c r="T29" s="4">
        <v>0</v>
      </c>
      <c r="U29" s="4">
        <v>0</v>
      </c>
      <c r="V29" s="17">
        <v>3.7142188255150534E-05</v>
      </c>
      <c r="W29" s="17">
        <v>0.016528876806612334</v>
      </c>
      <c r="X29" s="51">
        <v>3.999988187200185</v>
      </c>
      <c r="Y29" s="18"/>
      <c r="Z29" s="19">
        <v>0</v>
      </c>
      <c r="AA29" s="4">
        <v>0</v>
      </c>
      <c r="AB29" s="19">
        <v>0</v>
      </c>
      <c r="AC29" s="4">
        <v>0</v>
      </c>
      <c r="AD29" s="4">
        <v>0.003192625817477233</v>
      </c>
      <c r="AE29" s="4">
        <v>1.0904129472480911E-07</v>
      </c>
      <c r="AF29" s="4">
        <v>4.9739847230479294E-05</v>
      </c>
      <c r="AG29" s="4">
        <v>1.6074213549972908E-08</v>
      </c>
      <c r="AH29" s="19">
        <v>0</v>
      </c>
      <c r="AI29" s="17">
        <v>0</v>
      </c>
      <c r="AJ29" s="4">
        <v>0</v>
      </c>
      <c r="AK29" s="4">
        <v>0</v>
      </c>
      <c r="AL29" s="4">
        <v>0</v>
      </c>
      <c r="AM29" s="4">
        <v>0</v>
      </c>
      <c r="AN29" s="4">
        <v>0</v>
      </c>
      <c r="AO29" s="4">
        <v>1.498723612135654E-08</v>
      </c>
      <c r="AP29" s="6">
        <v>0.003242505767452109</v>
      </c>
      <c r="AQ29">
        <v>0.99999114040886</v>
      </c>
      <c r="AR29">
        <v>1</v>
      </c>
      <c r="AS29">
        <v>3.9999527489402813</v>
      </c>
      <c r="AT29">
        <v>3.999988187200185</v>
      </c>
      <c r="AU29">
        <v>2</v>
      </c>
      <c r="AV29">
        <v>0</v>
      </c>
      <c r="AW29">
        <v>0</v>
      </c>
      <c r="BB29" s="16" t="s">
        <v>20</v>
      </c>
      <c r="BC29">
        <v>2</v>
      </c>
      <c r="BD29" s="51">
        <v>7.662519167560382</v>
      </c>
      <c r="BE29" t="s">
        <v>46</v>
      </c>
      <c r="BF29" t="s">
        <v>46</v>
      </c>
      <c r="BG29" t="s">
        <v>39</v>
      </c>
      <c r="BH29" t="s">
        <v>46</v>
      </c>
    </row>
    <row r="30" spans="2:60" ht="12.75">
      <c r="B30" s="16" t="s">
        <v>19</v>
      </c>
      <c r="C30">
        <v>5</v>
      </c>
      <c r="G30" s="19">
        <v>0</v>
      </c>
      <c r="H30" s="4">
        <v>0</v>
      </c>
      <c r="I30" s="4">
        <v>0</v>
      </c>
      <c r="J30" s="4">
        <v>0</v>
      </c>
      <c r="K30" s="4">
        <v>0.00010591304043987912</v>
      </c>
      <c r="L30" s="4">
        <v>0.00805893666821656</v>
      </c>
      <c r="M30" s="4">
        <v>1.908045166823355E-05</v>
      </c>
      <c r="N30" s="27">
        <v>0.01373723307394256</v>
      </c>
      <c r="O30" s="4">
        <v>0</v>
      </c>
      <c r="P30" s="4">
        <v>0</v>
      </c>
      <c r="Q30" s="4">
        <v>0</v>
      </c>
      <c r="R30" s="4">
        <v>0</v>
      </c>
      <c r="S30" s="4">
        <v>0</v>
      </c>
      <c r="T30" s="4">
        <v>0</v>
      </c>
      <c r="U30" s="4">
        <v>0</v>
      </c>
      <c r="V30" s="17">
        <v>0.004850977533372085</v>
      </c>
      <c r="W30" s="17">
        <v>0.026772140767639317</v>
      </c>
      <c r="X30" s="51">
        <v>6.478858065768715</v>
      </c>
      <c r="Y30" s="18"/>
      <c r="Z30" s="19">
        <v>0</v>
      </c>
      <c r="AA30" s="4">
        <v>0</v>
      </c>
      <c r="AB30" s="19">
        <v>0</v>
      </c>
      <c r="AC30" s="4">
        <v>0</v>
      </c>
      <c r="AD30" s="4">
        <v>1.87164926718628E-07</v>
      </c>
      <c r="AE30" s="4">
        <v>0.0018600068870431234</v>
      </c>
      <c r="AF30" s="4">
        <v>2.9159555156528443E-09</v>
      </c>
      <c r="AG30" s="4">
        <v>0.0002741910574540258</v>
      </c>
      <c r="AH30" s="19">
        <v>0</v>
      </c>
      <c r="AI30" s="17">
        <v>0</v>
      </c>
      <c r="AJ30" s="4">
        <v>0</v>
      </c>
      <c r="AK30" s="4">
        <v>0</v>
      </c>
      <c r="AL30" s="4">
        <v>0</v>
      </c>
      <c r="AM30" s="4">
        <v>0</v>
      </c>
      <c r="AN30" s="4">
        <v>0</v>
      </c>
      <c r="AO30" s="4">
        <v>0.0002556495910454573</v>
      </c>
      <c r="AP30" s="6">
        <v>0.002390037616424841</v>
      </c>
      <c r="AQ30">
        <v>0.33756275511642875</v>
      </c>
      <c r="AR30">
        <v>0</v>
      </c>
      <c r="AS30">
        <v>2.187021178689184</v>
      </c>
      <c r="AT30">
        <v>0</v>
      </c>
      <c r="AU30">
        <v>0</v>
      </c>
      <c r="AV30">
        <v>0.33756275511642875</v>
      </c>
      <c r="AW30">
        <v>1</v>
      </c>
      <c r="BB30" s="16" t="s">
        <v>14</v>
      </c>
      <c r="BC30">
        <v>104</v>
      </c>
      <c r="BD30" s="51">
        <v>107.23177331465801</v>
      </c>
      <c r="BE30" t="s">
        <v>46</v>
      </c>
      <c r="BF30" t="s">
        <v>46</v>
      </c>
      <c r="BG30" t="s">
        <v>46</v>
      </c>
      <c r="BH30" t="s">
        <v>39</v>
      </c>
    </row>
    <row r="31" spans="2:60" ht="13.5" thickBot="1">
      <c r="B31" s="16" t="s">
        <v>20</v>
      </c>
      <c r="C31">
        <v>2</v>
      </c>
      <c r="G31" s="19">
        <v>0</v>
      </c>
      <c r="H31" s="4">
        <v>0</v>
      </c>
      <c r="I31" s="4">
        <v>0</v>
      </c>
      <c r="J31" s="4">
        <v>0</v>
      </c>
      <c r="K31" s="4">
        <v>0.0011962678251445623</v>
      </c>
      <c r="L31" s="4">
        <v>5.336213248083178E-06</v>
      </c>
      <c r="M31" s="4">
        <v>0.028815968261856145</v>
      </c>
      <c r="N31" s="27">
        <v>0.0012162427940555038</v>
      </c>
      <c r="O31" s="4">
        <v>0</v>
      </c>
      <c r="P31" s="4">
        <v>0</v>
      </c>
      <c r="Q31" s="4">
        <v>0</v>
      </c>
      <c r="R31" s="4">
        <v>0</v>
      </c>
      <c r="S31" s="4">
        <v>0</v>
      </c>
      <c r="T31" s="4">
        <v>0</v>
      </c>
      <c r="U31" s="4">
        <v>0</v>
      </c>
      <c r="V31" s="17">
        <v>0.00042948725098653813</v>
      </c>
      <c r="W31" s="17">
        <v>0.031663302345290835</v>
      </c>
      <c r="X31" s="51">
        <v>7.662519167560382</v>
      </c>
      <c r="Y31" s="18"/>
      <c r="Z31" s="19">
        <v>0</v>
      </c>
      <c r="AA31" s="4">
        <v>0</v>
      </c>
      <c r="AB31" s="19">
        <v>0</v>
      </c>
      <c r="AC31" s="4">
        <v>0</v>
      </c>
      <c r="AD31" s="4">
        <v>2.3877147472790028E-05</v>
      </c>
      <c r="AE31" s="4">
        <v>8.155027314868836E-10</v>
      </c>
      <c r="AF31" s="4">
        <v>0.006650740864517762</v>
      </c>
      <c r="AG31" s="4">
        <v>2.1492914609573033E-06</v>
      </c>
      <c r="AH31" s="19">
        <v>0</v>
      </c>
      <c r="AI31" s="17">
        <v>0</v>
      </c>
      <c r="AJ31" s="4">
        <v>0</v>
      </c>
      <c r="AK31" s="4">
        <v>0</v>
      </c>
      <c r="AL31" s="4">
        <v>0</v>
      </c>
      <c r="AM31" s="4">
        <v>0</v>
      </c>
      <c r="AN31" s="4">
        <v>0</v>
      </c>
      <c r="AO31" s="4">
        <v>2.0039511431672358E-06</v>
      </c>
      <c r="AP31" s="6">
        <v>0.006678772070097408</v>
      </c>
      <c r="AQ31">
        <v>4.184540700235194</v>
      </c>
      <c r="AR31">
        <v>0</v>
      </c>
      <c r="AS31">
        <v>32.06412332298872</v>
      </c>
      <c r="AT31">
        <v>0</v>
      </c>
      <c r="AU31">
        <v>0</v>
      </c>
      <c r="AV31">
        <v>4.184540700235194</v>
      </c>
      <c r="AW31">
        <v>1</v>
      </c>
      <c r="AX31" t="s">
        <v>64</v>
      </c>
      <c r="BB31" s="12" t="s">
        <v>21</v>
      </c>
      <c r="BC31">
        <v>62</v>
      </c>
      <c r="BD31" s="51">
        <v>52.24012403101065</v>
      </c>
      <c r="BE31" t="s">
        <v>46</v>
      </c>
      <c r="BF31" t="s">
        <v>46</v>
      </c>
      <c r="BG31" t="s">
        <v>46</v>
      </c>
      <c r="BH31" t="s">
        <v>46</v>
      </c>
    </row>
    <row r="32" spans="2:49" ht="13.5" thickBot="1">
      <c r="B32" s="12" t="s">
        <v>21</v>
      </c>
      <c r="C32">
        <v>62</v>
      </c>
      <c r="G32" s="19">
        <v>0</v>
      </c>
      <c r="H32" s="4">
        <v>0</v>
      </c>
      <c r="I32" s="4">
        <v>0</v>
      </c>
      <c r="J32" s="4">
        <v>0</v>
      </c>
      <c r="K32" s="4">
        <v>9.159391990466008E-06</v>
      </c>
      <c r="L32" s="4">
        <v>0.0006969392972193654</v>
      </c>
      <c r="M32" s="4">
        <v>0.0002206334930585236</v>
      </c>
      <c r="N32" s="27">
        <v>0.15884811170948682</v>
      </c>
      <c r="O32" s="4">
        <v>0</v>
      </c>
      <c r="P32" s="4">
        <v>0</v>
      </c>
      <c r="Q32" s="4">
        <v>0</v>
      </c>
      <c r="R32" s="4">
        <v>0</v>
      </c>
      <c r="S32" s="4">
        <v>0</v>
      </c>
      <c r="T32" s="4">
        <v>0</v>
      </c>
      <c r="U32" s="4">
        <v>0</v>
      </c>
      <c r="V32" s="17">
        <v>0.05609343722812355</v>
      </c>
      <c r="W32" s="17">
        <v>0.2158682811198787</v>
      </c>
      <c r="X32" s="51">
        <v>52.24012403101065</v>
      </c>
      <c r="Y32" s="18"/>
      <c r="Z32" s="19">
        <v>0</v>
      </c>
      <c r="AA32" s="4">
        <v>0</v>
      </c>
      <c r="AB32" s="19">
        <v>0</v>
      </c>
      <c r="AC32" s="4">
        <v>0</v>
      </c>
      <c r="AD32" s="4">
        <v>1.3997771152918667E-09</v>
      </c>
      <c r="AE32" s="4">
        <v>1.391069961885706E-05</v>
      </c>
      <c r="AF32" s="4">
        <v>3.898939298547874E-07</v>
      </c>
      <c r="AG32" s="4">
        <v>0.03666222901821436</v>
      </c>
      <c r="AH32" s="19">
        <v>0</v>
      </c>
      <c r="AI32" s="17">
        <v>0</v>
      </c>
      <c r="AJ32" s="4">
        <v>0</v>
      </c>
      <c r="AK32" s="4">
        <v>0</v>
      </c>
      <c r="AL32" s="4">
        <v>0</v>
      </c>
      <c r="AM32" s="4">
        <v>0</v>
      </c>
      <c r="AN32" s="4">
        <v>0</v>
      </c>
      <c r="AO32" s="4">
        <v>0.034183039893242825</v>
      </c>
      <c r="AP32" s="6">
        <v>0.07085957090478301</v>
      </c>
      <c r="AQ32">
        <v>1.8234102750887544</v>
      </c>
      <c r="AR32">
        <v>0</v>
      </c>
      <c r="AS32">
        <v>95.25517893005578</v>
      </c>
      <c r="AT32">
        <v>0</v>
      </c>
      <c r="AU32">
        <v>0</v>
      </c>
      <c r="AV32">
        <v>1.8234102750887544</v>
      </c>
      <c r="AW32">
        <v>1</v>
      </c>
    </row>
    <row r="33" spans="3:49" ht="12.75">
      <c r="C33" s="2">
        <v>242</v>
      </c>
      <c r="D33" s="2">
        <v>0</v>
      </c>
      <c r="E33" s="2">
        <v>0</v>
      </c>
      <c r="F33" s="2">
        <v>0</v>
      </c>
      <c r="G33" s="33">
        <v>0</v>
      </c>
      <c r="H33" s="2">
        <v>0</v>
      </c>
      <c r="I33" s="2">
        <v>0</v>
      </c>
      <c r="J33" s="2">
        <v>0</v>
      </c>
      <c r="K33" s="2">
        <v>0.059934157172958274</v>
      </c>
      <c r="L33" s="2">
        <v>0.03491732244366667</v>
      </c>
      <c r="M33" s="2">
        <v>0.12485225988856946</v>
      </c>
      <c r="N33" s="29">
        <v>0.6882484581374908</v>
      </c>
      <c r="O33" s="2">
        <v>0</v>
      </c>
      <c r="P33" s="2">
        <v>0</v>
      </c>
      <c r="Q33" s="2">
        <v>0</v>
      </c>
      <c r="R33" s="2">
        <v>0</v>
      </c>
      <c r="S33" s="2">
        <v>0</v>
      </c>
      <c r="T33" s="2">
        <v>0</v>
      </c>
      <c r="U33" s="2">
        <v>0</v>
      </c>
      <c r="V33" s="32">
        <v>0.09204780235731522</v>
      </c>
      <c r="W33" s="32">
        <v>1</v>
      </c>
      <c r="X33" s="32">
        <v>242</v>
      </c>
      <c r="Y33" s="32"/>
      <c r="Z33" s="33">
        <v>0</v>
      </c>
      <c r="AA33" s="2">
        <v>0</v>
      </c>
      <c r="AB33" s="2">
        <v>0</v>
      </c>
      <c r="AC33" s="2">
        <v>0</v>
      </c>
      <c r="AD33" s="2">
        <v>0.025836429012481725</v>
      </c>
      <c r="AE33" s="2">
        <v>0.015052166663799606</v>
      </c>
      <c r="AF33" s="2">
        <v>0.05382133831214309</v>
      </c>
      <c r="AG33" s="2">
        <v>0.29669028931706243</v>
      </c>
      <c r="AH33" s="2">
        <v>0</v>
      </c>
      <c r="AI33" s="2">
        <v>0</v>
      </c>
      <c r="AJ33" s="2">
        <v>0</v>
      </c>
      <c r="AK33" s="2">
        <v>0</v>
      </c>
      <c r="AL33" s="2">
        <v>0</v>
      </c>
      <c r="AM33" s="2">
        <v>0</v>
      </c>
      <c r="AN33" s="2">
        <v>0</v>
      </c>
      <c r="AO33" s="2">
        <v>0.0396799858968024</v>
      </c>
      <c r="AP33" s="2">
        <v>0.43108020920228923</v>
      </c>
      <c r="AQ33" s="36">
        <v>158.14515580338494</v>
      </c>
      <c r="AR33" s="36">
        <v>7</v>
      </c>
      <c r="AT33">
        <v>9.501172573865627</v>
      </c>
      <c r="AU33">
        <v>18</v>
      </c>
      <c r="AV33" s="36">
        <v>15.410081136572703</v>
      </c>
      <c r="AW33" s="36">
        <v>9</v>
      </c>
    </row>
    <row r="34" spans="7:48" ht="12.75">
      <c r="G34" s="21"/>
      <c r="M34" s="15"/>
      <c r="N34" s="15"/>
      <c r="W34" s="15"/>
      <c r="X34" s="15"/>
      <c r="Y34" s="15"/>
      <c r="Z34" s="21"/>
      <c r="AH34" s="21"/>
      <c r="AI34" s="15"/>
      <c r="AQ34" t="s">
        <v>38</v>
      </c>
      <c r="AU34" s="36">
        <v>7.602226678619987</v>
      </c>
      <c r="AV34" s="41">
        <v>23.012307815192692</v>
      </c>
    </row>
    <row r="35" spans="5:47" ht="12.75">
      <c r="E35" t="s">
        <v>106</v>
      </c>
      <c r="F35">
        <v>0</v>
      </c>
      <c r="G35" s="21"/>
      <c r="M35" s="15"/>
      <c r="N35" s="15"/>
      <c r="W35" s="15"/>
      <c r="X35" s="15"/>
      <c r="Y35" s="15"/>
      <c r="Z35" s="21"/>
      <c r="AH35" s="21"/>
      <c r="AI35" s="15"/>
      <c r="AP35" t="s">
        <v>106</v>
      </c>
      <c r="AU35" t="s">
        <v>61</v>
      </c>
    </row>
    <row r="36" ht="12.75">
      <c r="A36" t="s">
        <v>74</v>
      </c>
    </row>
    <row r="37" spans="2:3" ht="12.75">
      <c r="B37" t="s">
        <v>98</v>
      </c>
      <c r="C37" s="1">
        <v>0.05323971592307003</v>
      </c>
    </row>
    <row r="38" spans="2:26" ht="12.75">
      <c r="B38" t="s">
        <v>99</v>
      </c>
      <c r="C38" s="1">
        <v>0.0250818376504481</v>
      </c>
      <c r="Z38" t="s">
        <v>34</v>
      </c>
    </row>
    <row r="39" spans="2:3" ht="12.75">
      <c r="B39" t="s">
        <v>100</v>
      </c>
      <c r="C39" s="1">
        <v>0.03437535623487175</v>
      </c>
    </row>
    <row r="40" spans="2:42" ht="12.75">
      <c r="B40" t="s">
        <v>5</v>
      </c>
      <c r="C40" s="1">
        <v>0.5</v>
      </c>
      <c r="G40" t="s">
        <v>107</v>
      </c>
      <c r="Z40" t="s">
        <v>101</v>
      </c>
      <c r="AP40" t="s">
        <v>108</v>
      </c>
    </row>
    <row r="41" spans="23:43" ht="12.75">
      <c r="W41" t="s">
        <v>22</v>
      </c>
      <c r="X41" t="s">
        <v>2</v>
      </c>
      <c r="AP41" t="s">
        <v>22</v>
      </c>
      <c r="AQ41" t="s">
        <v>37</v>
      </c>
    </row>
    <row r="42" spans="7:52" ht="12.75">
      <c r="G42" s="1">
        <v>0</v>
      </c>
      <c r="H42" s="1">
        <v>0</v>
      </c>
      <c r="I42" s="1">
        <v>0</v>
      </c>
      <c r="J42" s="1">
        <v>0</v>
      </c>
      <c r="K42" s="48">
        <v>0.017916287659015415</v>
      </c>
      <c r="L42" s="48">
        <v>0.16698047291503929</v>
      </c>
      <c r="M42" s="48">
        <v>0.16574936169366697</v>
      </c>
      <c r="N42" s="1">
        <v>0</v>
      </c>
      <c r="O42" s="1">
        <v>0</v>
      </c>
      <c r="P42" s="1">
        <v>0</v>
      </c>
      <c r="Q42" s="1">
        <v>0</v>
      </c>
      <c r="R42" s="1">
        <v>0</v>
      </c>
      <c r="S42" s="1">
        <v>0</v>
      </c>
      <c r="T42" s="1">
        <v>0</v>
      </c>
      <c r="U42" s="1">
        <v>0</v>
      </c>
      <c r="V42" s="48">
        <v>0.6493547965362407</v>
      </c>
      <c r="W42">
        <v>1.0000009188039622</v>
      </c>
      <c r="X42" t="s">
        <v>97</v>
      </c>
      <c r="Z42">
        <v>0</v>
      </c>
      <c r="AA42">
        <v>0</v>
      </c>
      <c r="AB42">
        <v>0</v>
      </c>
      <c r="AC42">
        <v>0</v>
      </c>
      <c r="AD42">
        <v>0.017916287659015415</v>
      </c>
      <c r="AE42">
        <v>0.16698047291503929</v>
      </c>
      <c r="AF42">
        <v>0.16574936169366697</v>
      </c>
      <c r="AG42">
        <v>0</v>
      </c>
      <c r="AH42">
        <v>0</v>
      </c>
      <c r="AI42">
        <v>0</v>
      </c>
      <c r="AJ42">
        <v>0</v>
      </c>
      <c r="AK42">
        <v>0</v>
      </c>
      <c r="AL42">
        <v>0</v>
      </c>
      <c r="AM42">
        <v>0</v>
      </c>
      <c r="AN42">
        <v>0</v>
      </c>
      <c r="AO42">
        <v>0.6493547965362407</v>
      </c>
      <c r="AP42">
        <v>1.0000009188039622</v>
      </c>
      <c r="AX42" s="53" t="s">
        <v>90</v>
      </c>
      <c r="AY42" s="53" t="s">
        <v>91</v>
      </c>
      <c r="AZ42" s="53"/>
    </row>
    <row r="43" spans="2:52" ht="12.75">
      <c r="B43" t="s">
        <v>1</v>
      </c>
      <c r="C43" t="s">
        <v>102</v>
      </c>
      <c r="D43" t="s">
        <v>103</v>
      </c>
      <c r="E43" t="s">
        <v>104</v>
      </c>
      <c r="F43" t="s">
        <v>105</v>
      </c>
      <c r="G43" t="s">
        <v>6</v>
      </c>
      <c r="H43" t="s">
        <v>8</v>
      </c>
      <c r="I43" t="s">
        <v>9</v>
      </c>
      <c r="J43" t="s">
        <v>10</v>
      </c>
      <c r="K43" t="s">
        <v>11</v>
      </c>
      <c r="L43" t="s">
        <v>12</v>
      </c>
      <c r="M43" t="s">
        <v>13</v>
      </c>
      <c r="N43" t="s">
        <v>14</v>
      </c>
      <c r="O43" t="s">
        <v>7</v>
      </c>
      <c r="P43" t="s">
        <v>15</v>
      </c>
      <c r="Q43" t="s">
        <v>16</v>
      </c>
      <c r="R43" t="s">
        <v>17</v>
      </c>
      <c r="S43" t="s">
        <v>18</v>
      </c>
      <c r="T43" t="s">
        <v>19</v>
      </c>
      <c r="U43" t="s">
        <v>20</v>
      </c>
      <c r="V43" t="s">
        <v>21</v>
      </c>
      <c r="Z43" t="s">
        <v>6</v>
      </c>
      <c r="AA43" t="s">
        <v>8</v>
      </c>
      <c r="AB43" t="s">
        <v>9</v>
      </c>
      <c r="AC43" t="s">
        <v>10</v>
      </c>
      <c r="AD43" t="s">
        <v>11</v>
      </c>
      <c r="AE43" t="s">
        <v>12</v>
      </c>
      <c r="AF43" t="s">
        <v>13</v>
      </c>
      <c r="AG43" t="s">
        <v>14</v>
      </c>
      <c r="AH43" t="s">
        <v>7</v>
      </c>
      <c r="AI43" t="s">
        <v>15</v>
      </c>
      <c r="AJ43" t="s">
        <v>16</v>
      </c>
      <c r="AK43" t="s">
        <v>17</v>
      </c>
      <c r="AL43" t="s">
        <v>18</v>
      </c>
      <c r="AM43" t="s">
        <v>19</v>
      </c>
      <c r="AN43" t="s">
        <v>20</v>
      </c>
      <c r="AO43" t="s">
        <v>21</v>
      </c>
      <c r="AR43" t="s">
        <v>65</v>
      </c>
      <c r="AS43" t="s">
        <v>59</v>
      </c>
      <c r="AT43" t="s">
        <v>60</v>
      </c>
      <c r="AU43" t="s">
        <v>62</v>
      </c>
      <c r="AW43" t="s">
        <v>63</v>
      </c>
      <c r="AX43" s="53"/>
      <c r="AY43" s="53"/>
      <c r="AZ43" s="53"/>
    </row>
    <row r="44" spans="2:52" ht="12.75">
      <c r="B44" t="s">
        <v>6</v>
      </c>
      <c r="C44">
        <v>2</v>
      </c>
      <c r="G44">
        <v>0</v>
      </c>
      <c r="H44">
        <v>0</v>
      </c>
      <c r="I44">
        <v>0</v>
      </c>
      <c r="J44">
        <v>0</v>
      </c>
      <c r="K44">
        <v>0.0004489833775462559</v>
      </c>
      <c r="L44">
        <v>0.00014896587407930577</v>
      </c>
      <c r="M44">
        <v>0.000106862490563522</v>
      </c>
      <c r="N44">
        <v>0</v>
      </c>
      <c r="O44">
        <v>0</v>
      </c>
      <c r="P44">
        <v>0</v>
      </c>
      <c r="Q44">
        <v>0</v>
      </c>
      <c r="R44">
        <v>0</v>
      </c>
      <c r="S44">
        <v>0</v>
      </c>
      <c r="T44">
        <v>0</v>
      </c>
      <c r="U44">
        <v>0</v>
      </c>
      <c r="V44">
        <v>1.4903708463768351E-05</v>
      </c>
      <c r="W44">
        <v>0.0007197154506528521</v>
      </c>
      <c r="X44">
        <v>0.1741711390579902</v>
      </c>
      <c r="Z44">
        <v>0</v>
      </c>
      <c r="AA44">
        <v>0</v>
      </c>
      <c r="AB44">
        <v>0</v>
      </c>
      <c r="AC44">
        <v>0</v>
      </c>
      <c r="AD44">
        <v>1.1251553734202654E-05</v>
      </c>
      <c r="AE44">
        <v>1.3289477058495586E-07</v>
      </c>
      <c r="AF44">
        <v>6.889674731021996E-08</v>
      </c>
      <c r="AG44">
        <v>0</v>
      </c>
      <c r="AH44">
        <v>0</v>
      </c>
      <c r="AI44">
        <v>0</v>
      </c>
      <c r="AJ44">
        <v>0</v>
      </c>
      <c r="AK44">
        <v>0</v>
      </c>
      <c r="AL44">
        <v>0</v>
      </c>
      <c r="AM44">
        <v>0</v>
      </c>
      <c r="AN44">
        <v>0</v>
      </c>
      <c r="AO44">
        <v>3.420634253536368E-10</v>
      </c>
      <c r="AP44">
        <v>1.1453687315523183E-05</v>
      </c>
      <c r="AQ44">
        <v>19.140088578848065</v>
      </c>
      <c r="AR44">
        <v>1</v>
      </c>
      <c r="AS44">
        <v>3.3336510294487964</v>
      </c>
      <c r="AT44">
        <v>0.1741711390579902</v>
      </c>
      <c r="AU44">
        <v>2</v>
      </c>
      <c r="AV44">
        <v>0</v>
      </c>
      <c r="AW44">
        <v>0</v>
      </c>
      <c r="AX44" s="53">
        <f>100*(C48+C49+C50+C51+C56+C57+C58+C59)/C60</f>
        <v>91.32231404958678</v>
      </c>
      <c r="AY44" s="53">
        <f>100*(X48+X49+X50+X51+X56+X57+X58+X59)/X60</f>
        <v>94.67602840769301</v>
      </c>
      <c r="AZ44" s="53" t="s">
        <v>93</v>
      </c>
    </row>
    <row r="45" spans="2:52" ht="12.75">
      <c r="B45" t="s">
        <v>8</v>
      </c>
      <c r="C45">
        <v>1</v>
      </c>
      <c r="G45">
        <v>0</v>
      </c>
      <c r="H45">
        <v>0</v>
      </c>
      <c r="I45">
        <v>0</v>
      </c>
      <c r="J45">
        <v>0</v>
      </c>
      <c r="K45">
        <v>1.598339856624715E-05</v>
      </c>
      <c r="L45">
        <v>0.004184541917417812</v>
      </c>
      <c r="M45">
        <v>3.8042071574968936E-06</v>
      </c>
      <c r="N45">
        <v>0</v>
      </c>
      <c r="O45">
        <v>0</v>
      </c>
      <c r="P45">
        <v>0</v>
      </c>
      <c r="Q45">
        <v>0</v>
      </c>
      <c r="R45">
        <v>0</v>
      </c>
      <c r="S45">
        <v>0</v>
      </c>
      <c r="T45">
        <v>0</v>
      </c>
      <c r="U45">
        <v>0</v>
      </c>
      <c r="V45">
        <v>0.00041865422652715486</v>
      </c>
      <c r="W45">
        <v>0.004622983749668711</v>
      </c>
      <c r="X45">
        <v>1.118762067419828</v>
      </c>
      <c r="Z45">
        <v>0</v>
      </c>
      <c r="AA45">
        <v>0</v>
      </c>
      <c r="AB45">
        <v>0</v>
      </c>
      <c r="AC45">
        <v>0</v>
      </c>
      <c r="AD45">
        <v>1.425903817741843E-08</v>
      </c>
      <c r="AE45">
        <v>0.0001048649027813937</v>
      </c>
      <c r="AF45">
        <v>8.73125057573211E-11</v>
      </c>
      <c r="AG45">
        <v>0</v>
      </c>
      <c r="AH45">
        <v>0</v>
      </c>
      <c r="AI45">
        <v>0</v>
      </c>
      <c r="AJ45">
        <v>0</v>
      </c>
      <c r="AK45">
        <v>0</v>
      </c>
      <c r="AL45">
        <v>0</v>
      </c>
      <c r="AM45">
        <v>0</v>
      </c>
      <c r="AN45">
        <v>0</v>
      </c>
      <c r="AO45">
        <v>2.6991617267474566E-07</v>
      </c>
      <c r="AP45">
        <v>0.00010514916530475162</v>
      </c>
      <c r="AQ45">
        <v>0.012607174544593243</v>
      </c>
      <c r="AR45">
        <v>1</v>
      </c>
      <c r="AS45">
        <v>0.014104428657831765</v>
      </c>
      <c r="AT45">
        <v>1.118762067419828</v>
      </c>
      <c r="AU45">
        <v>1</v>
      </c>
      <c r="AV45">
        <v>0</v>
      </c>
      <c r="AW45">
        <v>0</v>
      </c>
      <c r="AX45" s="53">
        <f>100*(C46+C47+C50+C51+C54+C55+C58+C59)/C60</f>
        <v>83.05785123966942</v>
      </c>
      <c r="AY45" s="53">
        <f>100*(X46+X47+X50+X51+X54+X55+X58+X59)/X60</f>
        <v>79.92966641988501</v>
      </c>
      <c r="AZ45" s="53" t="s">
        <v>94</v>
      </c>
    </row>
    <row r="46" spans="2:52" ht="12.75">
      <c r="B46" t="s">
        <v>9</v>
      </c>
      <c r="C46">
        <v>1</v>
      </c>
      <c r="G46">
        <v>0</v>
      </c>
      <c r="H46">
        <v>0</v>
      </c>
      <c r="I46">
        <v>0</v>
      </c>
      <c r="J46">
        <v>0</v>
      </c>
      <c r="K46">
        <v>1.155104973757515E-05</v>
      </c>
      <c r="L46">
        <v>3.832463086039624E-06</v>
      </c>
      <c r="M46">
        <v>0.004153690187147188</v>
      </c>
      <c r="N46">
        <v>0</v>
      </c>
      <c r="O46">
        <v>0</v>
      </c>
      <c r="P46">
        <v>0</v>
      </c>
      <c r="Q46">
        <v>0</v>
      </c>
      <c r="R46">
        <v>0</v>
      </c>
      <c r="S46">
        <v>0</v>
      </c>
      <c r="T46">
        <v>0</v>
      </c>
      <c r="U46">
        <v>0</v>
      </c>
      <c r="V46">
        <v>0.0005792995023006586</v>
      </c>
      <c r="W46">
        <v>0.004748373202271462</v>
      </c>
      <c r="X46">
        <v>1.1491063149496938</v>
      </c>
      <c r="Z46">
        <v>0</v>
      </c>
      <c r="AA46">
        <v>0</v>
      </c>
      <c r="AB46">
        <v>0</v>
      </c>
      <c r="AC46">
        <v>0</v>
      </c>
      <c r="AD46">
        <v>7.447231958948539E-09</v>
      </c>
      <c r="AE46">
        <v>8.796102352237068E-11</v>
      </c>
      <c r="AF46">
        <v>0.00010409175633924666</v>
      </c>
      <c r="AG46">
        <v>0</v>
      </c>
      <c r="AH46">
        <v>0</v>
      </c>
      <c r="AI46">
        <v>0</v>
      </c>
      <c r="AJ46">
        <v>0</v>
      </c>
      <c r="AK46">
        <v>0</v>
      </c>
      <c r="AL46">
        <v>0</v>
      </c>
      <c r="AM46">
        <v>0</v>
      </c>
      <c r="AN46">
        <v>0</v>
      </c>
      <c r="AO46">
        <v>5.168020859411044E-07</v>
      </c>
      <c r="AP46">
        <v>0.00010461609361817024</v>
      </c>
      <c r="AQ46">
        <v>0.019347812181199794</v>
      </c>
      <c r="AR46">
        <v>1</v>
      </c>
      <c r="AS46">
        <v>0.022232693157877292</v>
      </c>
      <c r="AT46">
        <v>1.1491063149496938</v>
      </c>
      <c r="AU46">
        <v>1</v>
      </c>
      <c r="AV46">
        <v>0</v>
      </c>
      <c r="AW46">
        <v>0</v>
      </c>
      <c r="AX46" s="53">
        <f>100*(C45+C47+C49+C51+C53+C55+C57+C59)/C60</f>
        <v>80.57851239669421</v>
      </c>
      <c r="AY46" s="53">
        <f>100*(X45+X47+X49+X51+X53+X55+X57+X59)/X60</f>
        <v>79.45862958123728</v>
      </c>
      <c r="AZ46" s="53" t="s">
        <v>95</v>
      </c>
    </row>
    <row r="47" spans="2:52" ht="12.75">
      <c r="B47" t="s">
        <v>10</v>
      </c>
      <c r="C47">
        <v>3</v>
      </c>
      <c r="G47">
        <v>0</v>
      </c>
      <c r="H47">
        <v>0</v>
      </c>
      <c r="I47">
        <v>0</v>
      </c>
      <c r="J47">
        <v>0</v>
      </c>
      <c r="K47">
        <v>4.1120683091477565E-07</v>
      </c>
      <c r="L47">
        <v>0.00010765621676513289</v>
      </c>
      <c r="M47">
        <v>0.00014786758063229966</v>
      </c>
      <c r="N47">
        <v>0</v>
      </c>
      <c r="O47">
        <v>0</v>
      </c>
      <c r="P47">
        <v>0</v>
      </c>
      <c r="Q47">
        <v>0</v>
      </c>
      <c r="R47">
        <v>0</v>
      </c>
      <c r="S47">
        <v>0</v>
      </c>
      <c r="T47">
        <v>0</v>
      </c>
      <c r="U47">
        <v>0</v>
      </c>
      <c r="V47">
        <v>0.016272875013144613</v>
      </c>
      <c r="W47">
        <v>0.01652881001737296</v>
      </c>
      <c r="X47">
        <v>3.999972024204256</v>
      </c>
      <c r="Z47">
        <v>0</v>
      </c>
      <c r="AA47">
        <v>0</v>
      </c>
      <c r="AB47">
        <v>0</v>
      </c>
      <c r="AC47">
        <v>0</v>
      </c>
      <c r="AD47">
        <v>9.437840082115829E-12</v>
      </c>
      <c r="AE47">
        <v>6.940848115862191E-08</v>
      </c>
      <c r="AF47">
        <v>1.319149659379054E-07</v>
      </c>
      <c r="AG47">
        <v>0</v>
      </c>
      <c r="AH47">
        <v>0</v>
      </c>
      <c r="AI47">
        <v>0</v>
      </c>
      <c r="AJ47">
        <v>0</v>
      </c>
      <c r="AK47">
        <v>0</v>
      </c>
      <c r="AL47">
        <v>0</v>
      </c>
      <c r="AM47">
        <v>0</v>
      </c>
      <c r="AN47">
        <v>0</v>
      </c>
      <c r="AO47">
        <v>0.00040779934575973733</v>
      </c>
      <c r="AP47">
        <v>0.00040800067864467393</v>
      </c>
      <c r="AQ47">
        <v>0.24998776069942225</v>
      </c>
      <c r="AR47">
        <v>1</v>
      </c>
      <c r="AS47">
        <v>0.9999440491911572</v>
      </c>
      <c r="AT47">
        <v>3.999972024204256</v>
      </c>
      <c r="AU47">
        <v>3</v>
      </c>
      <c r="AV47">
        <v>0</v>
      </c>
      <c r="AW47">
        <v>0</v>
      </c>
      <c r="AX47" s="53">
        <f>100*(C52+C53+C54+C55+C56+C57+C58+C59)/C60</f>
        <v>35.12396694214876</v>
      </c>
      <c r="AY47" s="53">
        <f>100*(X52+X53+X54+X55+X56+X57+X58+X59)/X60</f>
        <v>50.00000000000001</v>
      </c>
      <c r="AZ47" s="53" t="s">
        <v>96</v>
      </c>
    </row>
    <row r="48" spans="2:49" ht="12.75">
      <c r="B48" t="s">
        <v>11</v>
      </c>
      <c r="C48">
        <v>6</v>
      </c>
      <c r="G48">
        <v>0</v>
      </c>
      <c r="H48">
        <v>0</v>
      </c>
      <c r="I48">
        <v>0</v>
      </c>
      <c r="J48">
        <v>0</v>
      </c>
      <c r="K48">
        <v>0.007984258043107172</v>
      </c>
      <c r="L48">
        <v>0.002649055706174005</v>
      </c>
      <c r="M48">
        <v>0.0019003324899268968</v>
      </c>
      <c r="N48">
        <v>0</v>
      </c>
      <c r="O48">
        <v>0</v>
      </c>
      <c r="P48">
        <v>0</v>
      </c>
      <c r="Q48">
        <v>0</v>
      </c>
      <c r="R48">
        <v>0</v>
      </c>
      <c r="S48">
        <v>0</v>
      </c>
      <c r="T48">
        <v>0</v>
      </c>
      <c r="U48">
        <v>0</v>
      </c>
      <c r="V48">
        <v>0.0002650322041414719</v>
      </c>
      <c r="W48">
        <v>0.012798678443349545</v>
      </c>
      <c r="X48">
        <v>3.09728018329059</v>
      </c>
      <c r="Z48">
        <v>0</v>
      </c>
      <c r="AA48">
        <v>0</v>
      </c>
      <c r="AB48">
        <v>0</v>
      </c>
      <c r="AC48">
        <v>0</v>
      </c>
      <c r="AD48">
        <v>0.0035581241891281864</v>
      </c>
      <c r="AE48">
        <v>4.202584896249278E-05</v>
      </c>
      <c r="AF48">
        <v>2.1787496104787354E-05</v>
      </c>
      <c r="AG48">
        <v>0</v>
      </c>
      <c r="AH48">
        <v>0</v>
      </c>
      <c r="AI48">
        <v>0</v>
      </c>
      <c r="AJ48">
        <v>0</v>
      </c>
      <c r="AK48">
        <v>0</v>
      </c>
      <c r="AL48">
        <v>0</v>
      </c>
      <c r="AM48">
        <v>0</v>
      </c>
      <c r="AN48">
        <v>0</v>
      </c>
      <c r="AO48">
        <v>1.0817209575838808E-07</v>
      </c>
      <c r="AP48">
        <v>0.003622045706291225</v>
      </c>
      <c r="AQ48">
        <v>2.7203810555381702</v>
      </c>
      <c r="AR48">
        <v>1</v>
      </c>
      <c r="AS48">
        <v>8.425782334317512</v>
      </c>
      <c r="AT48">
        <v>3.09728018329059</v>
      </c>
      <c r="AU48">
        <v>6</v>
      </c>
      <c r="AV48">
        <v>0</v>
      </c>
      <c r="AW48">
        <v>0</v>
      </c>
    </row>
    <row r="49" spans="2:49" ht="12.75">
      <c r="B49" t="s">
        <v>12</v>
      </c>
      <c r="C49">
        <v>15</v>
      </c>
      <c r="G49">
        <v>0</v>
      </c>
      <c r="H49">
        <v>0</v>
      </c>
      <c r="I49">
        <v>0</v>
      </c>
      <c r="J49">
        <v>0</v>
      </c>
      <c r="K49">
        <v>0.00028423230110695804</v>
      </c>
      <c r="L49">
        <v>0.0744135844036235</v>
      </c>
      <c r="M49">
        <v>6.765010268506259E-05</v>
      </c>
      <c r="N49">
        <v>0</v>
      </c>
      <c r="O49">
        <v>0</v>
      </c>
      <c r="P49">
        <v>0</v>
      </c>
      <c r="Q49">
        <v>0</v>
      </c>
      <c r="R49">
        <v>0</v>
      </c>
      <c r="S49">
        <v>0</v>
      </c>
      <c r="T49">
        <v>0</v>
      </c>
      <c r="U49">
        <v>0</v>
      </c>
      <c r="V49">
        <v>0.00744491565299848</v>
      </c>
      <c r="W49">
        <v>0.082210382460414</v>
      </c>
      <c r="X49">
        <v>19.894912555420188</v>
      </c>
      <c r="Z49">
        <v>0</v>
      </c>
      <c r="AA49">
        <v>0</v>
      </c>
      <c r="AB49">
        <v>0</v>
      </c>
      <c r="AC49">
        <v>0</v>
      </c>
      <c r="AD49">
        <v>4.5091931169069054E-06</v>
      </c>
      <c r="AE49">
        <v>0.03316185088667615</v>
      </c>
      <c r="AF49">
        <v>2.7611185627114098E-08</v>
      </c>
      <c r="AG49">
        <v>0</v>
      </c>
      <c r="AH49">
        <v>0</v>
      </c>
      <c r="AI49">
        <v>0</v>
      </c>
      <c r="AJ49">
        <v>0</v>
      </c>
      <c r="AK49">
        <v>0</v>
      </c>
      <c r="AL49">
        <v>0</v>
      </c>
      <c r="AM49">
        <v>0</v>
      </c>
      <c r="AN49">
        <v>0</v>
      </c>
      <c r="AO49">
        <v>8.535667923901813E-05</v>
      </c>
      <c r="AP49">
        <v>0.0332517443702177</v>
      </c>
      <c r="AQ49">
        <v>1.2043364784070119</v>
      </c>
      <c r="AR49">
        <v>0</v>
      </c>
      <c r="AS49">
        <v>23.960168925210194</v>
      </c>
      <c r="AT49">
        <v>0</v>
      </c>
      <c r="AU49">
        <v>0</v>
      </c>
      <c r="AV49">
        <v>1.2043364784070119</v>
      </c>
      <c r="AW49">
        <v>1</v>
      </c>
    </row>
    <row r="50" spans="2:49" ht="12.75">
      <c r="B50" t="s">
        <v>13</v>
      </c>
      <c r="C50">
        <v>25</v>
      </c>
      <c r="G50">
        <v>0</v>
      </c>
      <c r="H50">
        <v>0</v>
      </c>
      <c r="I50">
        <v>0</v>
      </c>
      <c r="J50">
        <v>0</v>
      </c>
      <c r="K50">
        <v>0.0002054119737741601</v>
      </c>
      <c r="L50">
        <v>6.815257702156407E-05</v>
      </c>
      <c r="M50">
        <v>0.07386494900223468</v>
      </c>
      <c r="N50">
        <v>0</v>
      </c>
      <c r="O50">
        <v>0</v>
      </c>
      <c r="P50">
        <v>0</v>
      </c>
      <c r="Q50">
        <v>0</v>
      </c>
      <c r="R50">
        <v>0</v>
      </c>
      <c r="S50">
        <v>0</v>
      </c>
      <c r="T50">
        <v>0</v>
      </c>
      <c r="U50">
        <v>0</v>
      </c>
      <c r="V50">
        <v>0.010301665811972071</v>
      </c>
      <c r="W50">
        <v>0.08444017936500248</v>
      </c>
      <c r="X50">
        <v>20.434523406330598</v>
      </c>
      <c r="Z50">
        <v>0</v>
      </c>
      <c r="AA50">
        <v>0</v>
      </c>
      <c r="AB50">
        <v>0</v>
      </c>
      <c r="AC50">
        <v>0</v>
      </c>
      <c r="AD50">
        <v>2.3550681800179913E-06</v>
      </c>
      <c r="AE50">
        <v>2.7816269013943402E-08</v>
      </c>
      <c r="AF50">
        <v>0.032917355670946134</v>
      </c>
      <c r="AG50">
        <v>0</v>
      </c>
      <c r="AH50">
        <v>0</v>
      </c>
      <c r="AI50">
        <v>0</v>
      </c>
      <c r="AJ50">
        <v>0</v>
      </c>
      <c r="AK50">
        <v>0</v>
      </c>
      <c r="AL50">
        <v>0</v>
      </c>
      <c r="AM50">
        <v>0</v>
      </c>
      <c r="AN50">
        <v>0</v>
      </c>
      <c r="AO50">
        <v>0.00016343040671700244</v>
      </c>
      <c r="AP50">
        <v>0.033083168962112164</v>
      </c>
      <c r="AQ50">
        <v>1.0200177470684657</v>
      </c>
      <c r="AR50">
        <v>0</v>
      </c>
      <c r="AS50">
        <v>20.843576527343167</v>
      </c>
      <c r="AT50">
        <v>0</v>
      </c>
      <c r="AU50">
        <v>0</v>
      </c>
      <c r="AV50">
        <v>1.0200177470684657</v>
      </c>
      <c r="AW50">
        <v>1</v>
      </c>
    </row>
    <row r="51" spans="1:49" ht="12.75">
      <c r="A51" t="s">
        <v>4</v>
      </c>
      <c r="B51" t="s">
        <v>14</v>
      </c>
      <c r="C51">
        <v>104</v>
      </c>
      <c r="G51">
        <v>0</v>
      </c>
      <c r="H51">
        <v>0</v>
      </c>
      <c r="I51">
        <v>0</v>
      </c>
      <c r="J51">
        <v>0</v>
      </c>
      <c r="K51">
        <v>7.312478838425733E-06</v>
      </c>
      <c r="L51">
        <v>0.0019144472993522944</v>
      </c>
      <c r="M51">
        <v>0.002629524786486345</v>
      </c>
      <c r="N51">
        <v>0</v>
      </c>
      <c r="O51">
        <v>0</v>
      </c>
      <c r="P51">
        <v>0</v>
      </c>
      <c r="Q51">
        <v>0</v>
      </c>
      <c r="R51">
        <v>0</v>
      </c>
      <c r="S51">
        <v>0</v>
      </c>
      <c r="T51">
        <v>0</v>
      </c>
      <c r="U51">
        <v>0</v>
      </c>
      <c r="V51">
        <v>0.28938005214857215</v>
      </c>
      <c r="W51">
        <v>0.2939313367132492</v>
      </c>
      <c r="X51">
        <v>71.13138348460632</v>
      </c>
      <c r="Z51">
        <v>0</v>
      </c>
      <c r="AA51">
        <v>0</v>
      </c>
      <c r="AB51">
        <v>0</v>
      </c>
      <c r="AC51">
        <v>0</v>
      </c>
      <c r="AD51">
        <v>2.984566210373222E-09</v>
      </c>
      <c r="AE51">
        <v>2.1949323762318746E-05</v>
      </c>
      <c r="AF51">
        <v>4.171600138964666E-05</v>
      </c>
      <c r="AG51">
        <v>0</v>
      </c>
      <c r="AH51">
        <v>0</v>
      </c>
      <c r="AI51">
        <v>0</v>
      </c>
      <c r="AJ51">
        <v>0</v>
      </c>
      <c r="AK51">
        <v>0</v>
      </c>
      <c r="AL51">
        <v>0</v>
      </c>
      <c r="AM51">
        <v>0</v>
      </c>
      <c r="AN51">
        <v>0</v>
      </c>
      <c r="AO51">
        <v>0.12896003083090607</v>
      </c>
      <c r="AP51">
        <v>0.12902369914062425</v>
      </c>
      <c r="AQ51">
        <v>15.188035135993244</v>
      </c>
      <c r="AR51">
        <v>0</v>
      </c>
      <c r="AS51">
        <v>1080.3459516360103</v>
      </c>
      <c r="AT51">
        <v>0</v>
      </c>
      <c r="AU51">
        <v>0</v>
      </c>
      <c r="AV51">
        <v>15.188035135993244</v>
      </c>
      <c r="AW51">
        <v>1</v>
      </c>
    </row>
    <row r="52" spans="2:49" ht="12.75">
      <c r="B52" t="s">
        <v>7</v>
      </c>
      <c r="C52">
        <v>7</v>
      </c>
      <c r="G52">
        <v>0</v>
      </c>
      <c r="H52">
        <v>0</v>
      </c>
      <c r="I52">
        <v>0</v>
      </c>
      <c r="J52">
        <v>0</v>
      </c>
      <c r="K52">
        <v>0.0004489833775462559</v>
      </c>
      <c r="L52">
        <v>0.00014896587407930577</v>
      </c>
      <c r="M52">
        <v>0.000106862490563522</v>
      </c>
      <c r="N52">
        <v>0</v>
      </c>
      <c r="O52">
        <v>0</v>
      </c>
      <c r="P52">
        <v>0</v>
      </c>
      <c r="Q52">
        <v>0</v>
      </c>
      <c r="R52">
        <v>0</v>
      </c>
      <c r="S52">
        <v>0</v>
      </c>
      <c r="T52">
        <v>0</v>
      </c>
      <c r="U52">
        <v>0</v>
      </c>
      <c r="V52">
        <v>1.4903708463768351E-05</v>
      </c>
      <c r="W52">
        <v>0.0007197154506528521</v>
      </c>
      <c r="X52">
        <v>0.1741711390579902</v>
      </c>
      <c r="Z52">
        <v>0</v>
      </c>
      <c r="AA52">
        <v>0</v>
      </c>
      <c r="AB52">
        <v>0</v>
      </c>
      <c r="AC52">
        <v>0</v>
      </c>
      <c r="AD52">
        <v>1.1251553734202654E-05</v>
      </c>
      <c r="AE52">
        <v>1.3289477058495586E-07</v>
      </c>
      <c r="AF52">
        <v>6.889674731021996E-08</v>
      </c>
      <c r="AG52">
        <v>0</v>
      </c>
      <c r="AH52">
        <v>0</v>
      </c>
      <c r="AI52">
        <v>0</v>
      </c>
      <c r="AJ52">
        <v>0</v>
      </c>
      <c r="AK52">
        <v>0</v>
      </c>
      <c r="AL52">
        <v>0</v>
      </c>
      <c r="AM52">
        <v>0</v>
      </c>
      <c r="AN52">
        <v>0</v>
      </c>
      <c r="AO52">
        <v>3.420634253536368E-10</v>
      </c>
      <c r="AP52">
        <v>1.1453687315523183E-05</v>
      </c>
      <c r="AQ52">
        <v>267.50665977648646</v>
      </c>
      <c r="AR52">
        <v>1</v>
      </c>
      <c r="AS52">
        <v>46.591939638868894</v>
      </c>
      <c r="AT52">
        <v>0.1741711390579902</v>
      </c>
      <c r="AU52">
        <v>7</v>
      </c>
      <c r="AV52">
        <v>0</v>
      </c>
      <c r="AW52">
        <v>0</v>
      </c>
    </row>
    <row r="53" spans="2:49" ht="12.75">
      <c r="B53" t="s">
        <v>15</v>
      </c>
      <c r="C53">
        <v>3</v>
      </c>
      <c r="G53">
        <v>0</v>
      </c>
      <c r="H53">
        <v>0</v>
      </c>
      <c r="I53">
        <v>0</v>
      </c>
      <c r="J53">
        <v>0</v>
      </c>
      <c r="K53">
        <v>1.598339856624715E-05</v>
      </c>
      <c r="L53">
        <v>0.004184541917417812</v>
      </c>
      <c r="M53">
        <v>3.8042071574968936E-06</v>
      </c>
      <c r="N53">
        <v>0</v>
      </c>
      <c r="O53">
        <v>0</v>
      </c>
      <c r="P53">
        <v>0</v>
      </c>
      <c r="Q53">
        <v>0</v>
      </c>
      <c r="R53">
        <v>0</v>
      </c>
      <c r="S53">
        <v>0</v>
      </c>
      <c r="T53">
        <v>0</v>
      </c>
      <c r="U53">
        <v>0</v>
      </c>
      <c r="V53">
        <v>0.00041865422652715486</v>
      </c>
      <c r="W53">
        <v>0.004622983749668711</v>
      </c>
      <c r="X53">
        <v>1.118762067419828</v>
      </c>
      <c r="Z53">
        <v>0</v>
      </c>
      <c r="AA53">
        <v>0</v>
      </c>
      <c r="AB53">
        <v>0</v>
      </c>
      <c r="AC53">
        <v>0</v>
      </c>
      <c r="AD53">
        <v>1.425903817741843E-08</v>
      </c>
      <c r="AE53">
        <v>0.0001048649027813937</v>
      </c>
      <c r="AF53">
        <v>8.73125057573211E-11</v>
      </c>
      <c r="AG53">
        <v>0</v>
      </c>
      <c r="AH53">
        <v>0</v>
      </c>
      <c r="AI53">
        <v>0</v>
      </c>
      <c r="AJ53">
        <v>0</v>
      </c>
      <c r="AK53">
        <v>0</v>
      </c>
      <c r="AL53">
        <v>0</v>
      </c>
      <c r="AM53">
        <v>0</v>
      </c>
      <c r="AN53">
        <v>0</v>
      </c>
      <c r="AO53">
        <v>2.6991617267474566E-07</v>
      </c>
      <c r="AP53">
        <v>0.00010514916530475162</v>
      </c>
      <c r="AQ53">
        <v>3.1633680315427153</v>
      </c>
      <c r="AR53">
        <v>1</v>
      </c>
      <c r="AS53">
        <v>3.5390561589785197</v>
      </c>
      <c r="AT53">
        <v>1.118762067419828</v>
      </c>
      <c r="AU53">
        <v>3</v>
      </c>
      <c r="AV53">
        <v>0</v>
      </c>
      <c r="AW53">
        <v>0</v>
      </c>
    </row>
    <row r="54" spans="2:49" ht="12.75">
      <c r="B54" t="s">
        <v>16</v>
      </c>
      <c r="C54">
        <v>2</v>
      </c>
      <c r="G54">
        <v>0</v>
      </c>
      <c r="H54">
        <v>0</v>
      </c>
      <c r="I54">
        <v>0</v>
      </c>
      <c r="J54">
        <v>0</v>
      </c>
      <c r="K54">
        <v>1.155104973757515E-05</v>
      </c>
      <c r="L54">
        <v>3.832463086039624E-06</v>
      </c>
      <c r="M54">
        <v>0.004153690187147188</v>
      </c>
      <c r="N54">
        <v>0</v>
      </c>
      <c r="O54">
        <v>0</v>
      </c>
      <c r="P54">
        <v>0</v>
      </c>
      <c r="Q54">
        <v>0</v>
      </c>
      <c r="R54">
        <v>0</v>
      </c>
      <c r="S54">
        <v>0</v>
      </c>
      <c r="T54">
        <v>0</v>
      </c>
      <c r="U54">
        <v>0</v>
      </c>
      <c r="V54">
        <v>0.0005792995023006586</v>
      </c>
      <c r="W54">
        <v>0.004748373202271462</v>
      </c>
      <c r="X54">
        <v>1.1491063149496938</v>
      </c>
      <c r="Z54">
        <v>0</v>
      </c>
      <c r="AA54">
        <v>0</v>
      </c>
      <c r="AB54">
        <v>0</v>
      </c>
      <c r="AC54">
        <v>0</v>
      </c>
      <c r="AD54">
        <v>7.447231958948539E-09</v>
      </c>
      <c r="AE54">
        <v>8.796102352237068E-11</v>
      </c>
      <c r="AF54">
        <v>0.00010409175633924666</v>
      </c>
      <c r="AG54">
        <v>0</v>
      </c>
      <c r="AH54">
        <v>0</v>
      </c>
      <c r="AI54">
        <v>0</v>
      </c>
      <c r="AJ54">
        <v>0</v>
      </c>
      <c r="AK54">
        <v>0</v>
      </c>
      <c r="AL54">
        <v>0</v>
      </c>
      <c r="AM54">
        <v>0</v>
      </c>
      <c r="AN54">
        <v>0</v>
      </c>
      <c r="AO54">
        <v>5.168020859411044E-07</v>
      </c>
      <c r="AP54">
        <v>0.00010461609361817024</v>
      </c>
      <c r="AQ54">
        <v>0.6300723038757177</v>
      </c>
      <c r="AR54">
        <v>1</v>
      </c>
      <c r="AS54">
        <v>0.7240200632584897</v>
      </c>
      <c r="AT54">
        <v>1.1491063149496938</v>
      </c>
      <c r="AU54">
        <v>2</v>
      </c>
      <c r="AV54">
        <v>0</v>
      </c>
      <c r="AW54">
        <v>0</v>
      </c>
    </row>
    <row r="55" spans="2:49" ht="12.75">
      <c r="B55" t="s">
        <v>17</v>
      </c>
      <c r="C55">
        <v>2</v>
      </c>
      <c r="G55">
        <v>0</v>
      </c>
      <c r="H55">
        <v>0</v>
      </c>
      <c r="I55">
        <v>0</v>
      </c>
      <c r="J55">
        <v>0</v>
      </c>
      <c r="K55">
        <v>4.1120683091477565E-07</v>
      </c>
      <c r="L55">
        <v>0.00010765621676513289</v>
      </c>
      <c r="M55">
        <v>0.00014786758063229966</v>
      </c>
      <c r="N55">
        <v>0</v>
      </c>
      <c r="O55">
        <v>0</v>
      </c>
      <c r="P55">
        <v>0</v>
      </c>
      <c r="Q55">
        <v>0</v>
      </c>
      <c r="R55">
        <v>0</v>
      </c>
      <c r="S55">
        <v>0</v>
      </c>
      <c r="T55">
        <v>0</v>
      </c>
      <c r="U55">
        <v>0</v>
      </c>
      <c r="V55">
        <v>0.016272875013144613</v>
      </c>
      <c r="W55">
        <v>0.01652881001737296</v>
      </c>
      <c r="X55">
        <v>3.999972024204256</v>
      </c>
      <c r="Z55">
        <v>0</v>
      </c>
      <c r="AA55">
        <v>0</v>
      </c>
      <c r="AB55">
        <v>0</v>
      </c>
      <c r="AC55">
        <v>0</v>
      </c>
      <c r="AD55">
        <v>9.437840082115829E-12</v>
      </c>
      <c r="AE55">
        <v>6.940848115862191E-08</v>
      </c>
      <c r="AF55">
        <v>1.319149659379054E-07</v>
      </c>
      <c r="AG55">
        <v>0</v>
      </c>
      <c r="AH55">
        <v>0</v>
      </c>
      <c r="AI55">
        <v>0</v>
      </c>
      <c r="AJ55">
        <v>0</v>
      </c>
      <c r="AK55">
        <v>0</v>
      </c>
      <c r="AL55">
        <v>0</v>
      </c>
      <c r="AM55">
        <v>0</v>
      </c>
      <c r="AN55">
        <v>0</v>
      </c>
      <c r="AO55">
        <v>0.00040779934575973733</v>
      </c>
      <c r="AP55">
        <v>0.00040800067864467393</v>
      </c>
      <c r="AQ55">
        <v>0.9999790182021077</v>
      </c>
      <c r="AR55">
        <v>1</v>
      </c>
      <c r="AS55">
        <v>3.999888097599669</v>
      </c>
      <c r="AT55">
        <v>3.999972024204256</v>
      </c>
      <c r="AU55">
        <v>2</v>
      </c>
      <c r="AV55">
        <v>0</v>
      </c>
      <c r="AW55">
        <v>0</v>
      </c>
    </row>
    <row r="56" spans="2:49" ht="12.75">
      <c r="B56" t="s">
        <v>18</v>
      </c>
      <c r="C56">
        <v>2</v>
      </c>
      <c r="G56">
        <v>0</v>
      </c>
      <c r="H56">
        <v>0</v>
      </c>
      <c r="I56">
        <v>0</v>
      </c>
      <c r="J56">
        <v>0</v>
      </c>
      <c r="K56">
        <v>0.007984258043107172</v>
      </c>
      <c r="L56">
        <v>0.002649055706174005</v>
      </c>
      <c r="M56">
        <v>0.0019003324899268968</v>
      </c>
      <c r="N56">
        <v>0</v>
      </c>
      <c r="O56">
        <v>0</v>
      </c>
      <c r="P56">
        <v>0</v>
      </c>
      <c r="Q56">
        <v>0</v>
      </c>
      <c r="R56">
        <v>0</v>
      </c>
      <c r="S56">
        <v>0</v>
      </c>
      <c r="T56">
        <v>0</v>
      </c>
      <c r="U56">
        <v>0</v>
      </c>
      <c r="V56">
        <v>0.0002650322041414719</v>
      </c>
      <c r="W56">
        <v>0.012798678443349545</v>
      </c>
      <c r="X56">
        <v>3.09728018329059</v>
      </c>
      <c r="Z56">
        <v>0</v>
      </c>
      <c r="AA56">
        <v>0</v>
      </c>
      <c r="AB56">
        <v>0</v>
      </c>
      <c r="AC56">
        <v>0</v>
      </c>
      <c r="AD56">
        <v>0.0035581241891281864</v>
      </c>
      <c r="AE56">
        <v>4.202584896249278E-05</v>
      </c>
      <c r="AF56">
        <v>2.1787496104787354E-05</v>
      </c>
      <c r="AG56">
        <v>0</v>
      </c>
      <c r="AH56">
        <v>0</v>
      </c>
      <c r="AI56">
        <v>0</v>
      </c>
      <c r="AJ56">
        <v>0</v>
      </c>
      <c r="AK56">
        <v>0</v>
      </c>
      <c r="AL56">
        <v>0</v>
      </c>
      <c r="AM56">
        <v>0</v>
      </c>
      <c r="AN56">
        <v>0</v>
      </c>
      <c r="AO56">
        <v>1.0817209575838808E-07</v>
      </c>
      <c r="AP56">
        <v>0.003622045706291225</v>
      </c>
      <c r="AQ56">
        <v>0.38873583576254317</v>
      </c>
      <c r="AR56">
        <v>1</v>
      </c>
      <c r="AS56">
        <v>1.2040238006422304</v>
      </c>
      <c r="AT56">
        <v>3.09728018329059</v>
      </c>
      <c r="AU56">
        <v>2</v>
      </c>
      <c r="AV56">
        <v>0</v>
      </c>
      <c r="AW56">
        <v>0</v>
      </c>
    </row>
    <row r="57" spans="2:49" ht="12.75">
      <c r="B57" t="s">
        <v>19</v>
      </c>
      <c r="C57">
        <v>5</v>
      </c>
      <c r="G57">
        <v>0</v>
      </c>
      <c r="H57">
        <v>0</v>
      </c>
      <c r="I57">
        <v>0</v>
      </c>
      <c r="J57">
        <v>0</v>
      </c>
      <c r="K57">
        <v>0.00028423230110695804</v>
      </c>
      <c r="L57">
        <v>0.0744135844036235</v>
      </c>
      <c r="M57">
        <v>6.765010268506259E-05</v>
      </c>
      <c r="N57">
        <v>0</v>
      </c>
      <c r="O57">
        <v>0</v>
      </c>
      <c r="P57">
        <v>0</v>
      </c>
      <c r="Q57">
        <v>0</v>
      </c>
      <c r="R57">
        <v>0</v>
      </c>
      <c r="S57">
        <v>0</v>
      </c>
      <c r="T57">
        <v>0</v>
      </c>
      <c r="U57">
        <v>0</v>
      </c>
      <c r="V57">
        <v>0.00744491565299848</v>
      </c>
      <c r="W57">
        <v>0.082210382460414</v>
      </c>
      <c r="X57">
        <v>19.894912555420188</v>
      </c>
      <c r="Z57">
        <v>0</v>
      </c>
      <c r="AA57">
        <v>0</v>
      </c>
      <c r="AB57">
        <v>0</v>
      </c>
      <c r="AC57">
        <v>0</v>
      </c>
      <c r="AD57">
        <v>4.5091931169069054E-06</v>
      </c>
      <c r="AE57">
        <v>0.03316185088667615</v>
      </c>
      <c r="AF57">
        <v>2.7611185627114098E-08</v>
      </c>
      <c r="AG57">
        <v>0</v>
      </c>
      <c r="AH57">
        <v>0</v>
      </c>
      <c r="AI57">
        <v>0</v>
      </c>
      <c r="AJ57">
        <v>0</v>
      </c>
      <c r="AK57">
        <v>0</v>
      </c>
      <c r="AL57">
        <v>0</v>
      </c>
      <c r="AM57">
        <v>0</v>
      </c>
      <c r="AN57">
        <v>0</v>
      </c>
      <c r="AO57">
        <v>8.535667923901813E-05</v>
      </c>
      <c r="AP57">
        <v>0.0332517443702177</v>
      </c>
      <c r="AQ57">
        <v>11.151515213529835</v>
      </c>
      <c r="AR57">
        <v>0</v>
      </c>
      <c r="AS57">
        <v>221.85842003361395</v>
      </c>
      <c r="AT57">
        <v>0</v>
      </c>
      <c r="AU57">
        <v>0</v>
      </c>
      <c r="AV57">
        <v>11.151515213529835</v>
      </c>
      <c r="AW57">
        <v>1</v>
      </c>
    </row>
    <row r="58" spans="2:49" ht="12.75">
      <c r="B58" t="s">
        <v>20</v>
      </c>
      <c r="C58">
        <v>2</v>
      </c>
      <c r="G58">
        <v>0</v>
      </c>
      <c r="H58">
        <v>0</v>
      </c>
      <c r="I58">
        <v>0</v>
      </c>
      <c r="J58">
        <v>0</v>
      </c>
      <c r="K58">
        <v>0.0002054119737741601</v>
      </c>
      <c r="L58">
        <v>6.815257702156407E-05</v>
      </c>
      <c r="M58">
        <v>0.07386494900223468</v>
      </c>
      <c r="N58">
        <v>0</v>
      </c>
      <c r="O58">
        <v>0</v>
      </c>
      <c r="P58">
        <v>0</v>
      </c>
      <c r="Q58">
        <v>0</v>
      </c>
      <c r="R58">
        <v>0</v>
      </c>
      <c r="S58">
        <v>0</v>
      </c>
      <c r="T58">
        <v>0</v>
      </c>
      <c r="U58">
        <v>0</v>
      </c>
      <c r="V58">
        <v>0.010301665811972071</v>
      </c>
      <c r="W58">
        <v>0.08444017936500248</v>
      </c>
      <c r="X58">
        <v>20.434523406330598</v>
      </c>
      <c r="Z58">
        <v>0</v>
      </c>
      <c r="AA58">
        <v>0</v>
      </c>
      <c r="AB58">
        <v>0</v>
      </c>
      <c r="AC58">
        <v>0</v>
      </c>
      <c r="AD58">
        <v>2.3550681800179913E-06</v>
      </c>
      <c r="AE58">
        <v>2.7816269013943402E-08</v>
      </c>
      <c r="AF58">
        <v>0.032917355670946134</v>
      </c>
      <c r="AG58">
        <v>0</v>
      </c>
      <c r="AH58">
        <v>0</v>
      </c>
      <c r="AI58">
        <v>0</v>
      </c>
      <c r="AJ58">
        <v>0</v>
      </c>
      <c r="AK58">
        <v>0</v>
      </c>
      <c r="AL58">
        <v>0</v>
      </c>
      <c r="AM58">
        <v>0</v>
      </c>
      <c r="AN58">
        <v>0</v>
      </c>
      <c r="AO58">
        <v>0.00016343040671700244</v>
      </c>
      <c r="AP58">
        <v>0.033083168962112164</v>
      </c>
      <c r="AQ58">
        <v>16.63027057011132</v>
      </c>
      <c r="AR58">
        <v>0</v>
      </c>
      <c r="AS58">
        <v>339.8316532185507</v>
      </c>
      <c r="AT58">
        <v>0</v>
      </c>
      <c r="AU58">
        <v>0</v>
      </c>
      <c r="AV58">
        <v>16.63027057011132</v>
      </c>
      <c r="AW58">
        <v>1</v>
      </c>
    </row>
    <row r="59" spans="2:49" ht="12.75">
      <c r="B59" t="s">
        <v>21</v>
      </c>
      <c r="C59">
        <v>62</v>
      </c>
      <c r="G59">
        <v>0</v>
      </c>
      <c r="H59">
        <v>0</v>
      </c>
      <c r="I59">
        <v>0</v>
      </c>
      <c r="J59">
        <v>0</v>
      </c>
      <c r="K59">
        <v>7.312478838425733E-06</v>
      </c>
      <c r="L59">
        <v>0.0019144472993522944</v>
      </c>
      <c r="M59">
        <v>0.002629524786486345</v>
      </c>
      <c r="N59">
        <v>0</v>
      </c>
      <c r="O59">
        <v>0</v>
      </c>
      <c r="P59">
        <v>0</v>
      </c>
      <c r="Q59">
        <v>0</v>
      </c>
      <c r="R59">
        <v>0</v>
      </c>
      <c r="S59">
        <v>0</v>
      </c>
      <c r="T59">
        <v>0</v>
      </c>
      <c r="U59">
        <v>0</v>
      </c>
      <c r="V59">
        <v>0.28938005214857215</v>
      </c>
      <c r="W59">
        <v>0.2939313367132492</v>
      </c>
      <c r="X59">
        <v>71.13138348460632</v>
      </c>
      <c r="Z59">
        <v>0</v>
      </c>
      <c r="AA59">
        <v>0</v>
      </c>
      <c r="AB59">
        <v>0</v>
      </c>
      <c r="AC59">
        <v>0</v>
      </c>
      <c r="AD59">
        <v>2.984566210373222E-09</v>
      </c>
      <c r="AE59">
        <v>2.1949323762318746E-05</v>
      </c>
      <c r="AF59">
        <v>4.171600138964666E-05</v>
      </c>
      <c r="AG59">
        <v>0</v>
      </c>
      <c r="AH59">
        <v>0</v>
      </c>
      <c r="AI59">
        <v>0</v>
      </c>
      <c r="AJ59">
        <v>0</v>
      </c>
      <c r="AK59">
        <v>0</v>
      </c>
      <c r="AL59">
        <v>0</v>
      </c>
      <c r="AM59">
        <v>0</v>
      </c>
      <c r="AN59">
        <v>0</v>
      </c>
      <c r="AO59">
        <v>0.12896003083090607</v>
      </c>
      <c r="AP59">
        <v>0.12902369914062425</v>
      </c>
      <c r="AQ59">
        <v>1.1722275071591417</v>
      </c>
      <c r="AR59">
        <v>0</v>
      </c>
      <c r="AS59">
        <v>83.38216434294101</v>
      </c>
      <c r="AT59">
        <v>0</v>
      </c>
      <c r="AU59">
        <v>0</v>
      </c>
      <c r="AV59">
        <v>1.1722275071591417</v>
      </c>
      <c r="AW59">
        <v>1</v>
      </c>
    </row>
    <row r="60" spans="3:50" ht="12.75">
      <c r="C60">
        <v>242</v>
      </c>
      <c r="D60">
        <v>0</v>
      </c>
      <c r="E60">
        <v>0</v>
      </c>
      <c r="F60">
        <v>0</v>
      </c>
      <c r="G60">
        <v>0</v>
      </c>
      <c r="H60">
        <v>0</v>
      </c>
      <c r="I60">
        <v>0</v>
      </c>
      <c r="J60">
        <v>0</v>
      </c>
      <c r="K60">
        <v>0.017916287659015415</v>
      </c>
      <c r="L60">
        <v>0.16698047291503929</v>
      </c>
      <c r="M60">
        <v>0.16574936169366697</v>
      </c>
      <c r="N60">
        <v>0</v>
      </c>
      <c r="O60">
        <v>0</v>
      </c>
      <c r="P60">
        <v>0</v>
      </c>
      <c r="Q60">
        <v>0</v>
      </c>
      <c r="R60">
        <v>0</v>
      </c>
      <c r="S60">
        <v>0</v>
      </c>
      <c r="T60">
        <v>0</v>
      </c>
      <c r="U60">
        <v>0</v>
      </c>
      <c r="V60">
        <v>0.6493547965362407</v>
      </c>
      <c r="W60">
        <v>1.0000009188039627</v>
      </c>
      <c r="X60">
        <v>242.0002223505589</v>
      </c>
      <c r="Z60">
        <v>0</v>
      </c>
      <c r="AA60">
        <v>0</v>
      </c>
      <c r="AB60">
        <v>0</v>
      </c>
      <c r="AC60">
        <v>0</v>
      </c>
      <c r="AD60">
        <v>0.007152529408867001</v>
      </c>
      <c r="AE60">
        <v>0.06666184233932826</v>
      </c>
      <c r="AF60">
        <v>0.06617035886998239</v>
      </c>
      <c r="AG60">
        <v>0</v>
      </c>
      <c r="AH60">
        <v>0</v>
      </c>
      <c r="AI60">
        <v>0</v>
      </c>
      <c r="AJ60">
        <v>0</v>
      </c>
      <c r="AK60">
        <v>0</v>
      </c>
      <c r="AL60">
        <v>0</v>
      </c>
      <c r="AM60">
        <v>0</v>
      </c>
      <c r="AN60">
        <v>0</v>
      </c>
      <c r="AO60">
        <v>0.2592350249900792</v>
      </c>
      <c r="AP60">
        <v>0.39921975560825695</v>
      </c>
      <c r="AQ60">
        <v>341.19762999995</v>
      </c>
      <c r="AR60">
        <v>10</v>
      </c>
      <c r="AT60">
        <v>19.078583457844715</v>
      </c>
      <c r="AU60">
        <v>29</v>
      </c>
      <c r="AV60">
        <v>46.366402652269024</v>
      </c>
      <c r="AW60">
        <v>6</v>
      </c>
      <c r="AX60" t="s">
        <v>64</v>
      </c>
    </row>
    <row r="61" spans="43:52" ht="12.75">
      <c r="AQ61" t="s">
        <v>38</v>
      </c>
      <c r="AU61">
        <v>5.159424252877554</v>
      </c>
      <c r="AV61" s="41">
        <v>51.52582690514658</v>
      </c>
      <c r="AZ61">
        <f>AV61-AV34</f>
        <v>28.51351908995389</v>
      </c>
    </row>
    <row r="62" spans="5:47" ht="12.75">
      <c r="E62" t="s">
        <v>106</v>
      </c>
      <c r="F62">
        <v>0</v>
      </c>
      <c r="AP62" t="s">
        <v>106</v>
      </c>
      <c r="AU62" t="s">
        <v>61</v>
      </c>
    </row>
    <row r="65" ht="12.75">
      <c r="D65" t="s">
        <v>49</v>
      </c>
    </row>
    <row r="66" spans="1:2" ht="12.75">
      <c r="A66" t="s">
        <v>98</v>
      </c>
      <c r="B66" s="1">
        <v>0.06486007224910004</v>
      </c>
    </row>
    <row r="67" spans="1:25" ht="12.75">
      <c r="A67" t="s">
        <v>99</v>
      </c>
      <c r="B67" s="1">
        <v>0.11745719130127334</v>
      </c>
      <c r="Y67" t="s">
        <v>34</v>
      </c>
    </row>
    <row r="68" spans="1:2" ht="12.75">
      <c r="A68" t="s">
        <v>100</v>
      </c>
      <c r="B68" s="1">
        <v>0</v>
      </c>
    </row>
    <row r="69" spans="1:41" ht="12.75">
      <c r="A69" t="s">
        <v>5</v>
      </c>
      <c r="B69" s="1">
        <v>0.21362442342264792</v>
      </c>
      <c r="F69" t="s">
        <v>107</v>
      </c>
      <c r="Y69" t="s">
        <v>101</v>
      </c>
      <c r="AO69" t="s">
        <v>108</v>
      </c>
    </row>
    <row r="70" spans="22:42" ht="12.75">
      <c r="V70" t="s">
        <v>22</v>
      </c>
      <c r="W70" t="s">
        <v>2</v>
      </c>
      <c r="AO70" t="s">
        <v>22</v>
      </c>
      <c r="AP70" t="s">
        <v>37</v>
      </c>
    </row>
    <row r="71" spans="6:51" ht="12.75">
      <c r="F71">
        <v>0</v>
      </c>
      <c r="G71">
        <v>0</v>
      </c>
      <c r="H71">
        <v>0</v>
      </c>
      <c r="I71">
        <v>0</v>
      </c>
      <c r="J71" s="48">
        <v>0.039146891084730795</v>
      </c>
      <c r="K71">
        <v>0</v>
      </c>
      <c r="L71" s="48">
        <v>0.1465519950301938</v>
      </c>
      <c r="M71" s="48">
        <v>0.6138633389001913</v>
      </c>
      <c r="N71">
        <v>0</v>
      </c>
      <c r="O71">
        <v>0</v>
      </c>
      <c r="P71">
        <v>0</v>
      </c>
      <c r="Q71">
        <v>0</v>
      </c>
      <c r="R71">
        <v>0</v>
      </c>
      <c r="S71">
        <v>0</v>
      </c>
      <c r="T71">
        <v>0</v>
      </c>
      <c r="U71" s="48">
        <v>0.20043777498488405</v>
      </c>
      <c r="V71">
        <v>1</v>
      </c>
      <c r="W71" t="s">
        <v>97</v>
      </c>
      <c r="Y71">
        <v>0</v>
      </c>
      <c r="Z71">
        <v>0</v>
      </c>
      <c r="AA71">
        <v>0</v>
      </c>
      <c r="AB71">
        <v>0</v>
      </c>
      <c r="AC71">
        <v>0.039146891084730795</v>
      </c>
      <c r="AD71">
        <v>0</v>
      </c>
      <c r="AE71">
        <v>0.1465519950301938</v>
      </c>
      <c r="AF71">
        <v>0.6138633389001913</v>
      </c>
      <c r="AG71">
        <v>0</v>
      </c>
      <c r="AH71">
        <v>0</v>
      </c>
      <c r="AI71">
        <v>0</v>
      </c>
      <c r="AJ71">
        <v>0</v>
      </c>
      <c r="AK71">
        <v>0</v>
      </c>
      <c r="AL71">
        <v>0</v>
      </c>
      <c r="AM71">
        <v>0</v>
      </c>
      <c r="AN71">
        <v>0.20043777498488405</v>
      </c>
      <c r="AO71">
        <v>1</v>
      </c>
      <c r="AW71" s="53" t="s">
        <v>90</v>
      </c>
      <c r="AX71" s="53" t="s">
        <v>91</v>
      </c>
      <c r="AY71" s="53"/>
    </row>
    <row r="72" spans="1:51" ht="12.75">
      <c r="A72" t="s">
        <v>1</v>
      </c>
      <c r="B72" t="s">
        <v>102</v>
      </c>
      <c r="C72" t="s">
        <v>103</v>
      </c>
      <c r="D72" t="s">
        <v>104</v>
      </c>
      <c r="E72" t="s">
        <v>105</v>
      </c>
      <c r="F72" t="s">
        <v>6</v>
      </c>
      <c r="G72" t="s">
        <v>8</v>
      </c>
      <c r="H72" t="s">
        <v>9</v>
      </c>
      <c r="I72" t="s">
        <v>10</v>
      </c>
      <c r="J72" t="s">
        <v>11</v>
      </c>
      <c r="K72" t="s">
        <v>12</v>
      </c>
      <c r="L72" t="s">
        <v>13</v>
      </c>
      <c r="M72" t="s">
        <v>14</v>
      </c>
      <c r="N72" t="s">
        <v>7</v>
      </c>
      <c r="O72" t="s">
        <v>15</v>
      </c>
      <c r="P72" t="s">
        <v>16</v>
      </c>
      <c r="Q72" t="s">
        <v>17</v>
      </c>
      <c r="R72" t="s">
        <v>18</v>
      </c>
      <c r="S72" t="s">
        <v>19</v>
      </c>
      <c r="T72" t="s">
        <v>20</v>
      </c>
      <c r="U72" t="s">
        <v>21</v>
      </c>
      <c r="Y72" t="s">
        <v>6</v>
      </c>
      <c r="Z72" t="s">
        <v>8</v>
      </c>
      <c r="AA72" t="s">
        <v>9</v>
      </c>
      <c r="AB72" t="s">
        <v>10</v>
      </c>
      <c r="AC72" t="s">
        <v>11</v>
      </c>
      <c r="AD72" t="s">
        <v>12</v>
      </c>
      <c r="AE72" t="s">
        <v>13</v>
      </c>
      <c r="AF72" t="s">
        <v>14</v>
      </c>
      <c r="AG72" t="s">
        <v>7</v>
      </c>
      <c r="AH72" t="s">
        <v>15</v>
      </c>
      <c r="AI72" t="s">
        <v>16</v>
      </c>
      <c r="AJ72" t="s">
        <v>17</v>
      </c>
      <c r="AK72" t="s">
        <v>18</v>
      </c>
      <c r="AL72" t="s">
        <v>19</v>
      </c>
      <c r="AM72" t="s">
        <v>20</v>
      </c>
      <c r="AN72" t="s">
        <v>21</v>
      </c>
      <c r="AQ72" t="s">
        <v>65</v>
      </c>
      <c r="AR72" t="s">
        <v>59</v>
      </c>
      <c r="AS72" t="s">
        <v>60</v>
      </c>
      <c r="AT72" t="s">
        <v>62</v>
      </c>
      <c r="AV72" t="s">
        <v>63</v>
      </c>
      <c r="AW72" s="53"/>
      <c r="AX72" s="53"/>
      <c r="AY72" s="53"/>
    </row>
    <row r="73" spans="1:51" ht="12.75">
      <c r="A73" t="s">
        <v>6</v>
      </c>
      <c r="B73">
        <v>2</v>
      </c>
      <c r="F73">
        <v>0</v>
      </c>
      <c r="G73">
        <v>0</v>
      </c>
      <c r="H73">
        <v>0</v>
      </c>
      <c r="I73">
        <v>0</v>
      </c>
      <c r="J73">
        <v>0.0017621403778667513</v>
      </c>
      <c r="K73">
        <v>0</v>
      </c>
      <c r="L73">
        <v>0.0008779682104106812</v>
      </c>
      <c r="M73">
        <v>0</v>
      </c>
      <c r="N73">
        <v>0</v>
      </c>
      <c r="O73">
        <v>0</v>
      </c>
      <c r="P73">
        <v>0</v>
      </c>
      <c r="Q73">
        <v>0</v>
      </c>
      <c r="R73">
        <v>0</v>
      </c>
      <c r="S73">
        <v>0</v>
      </c>
      <c r="T73">
        <v>0</v>
      </c>
      <c r="U73">
        <v>0</v>
      </c>
      <c r="V73">
        <v>0.0026401085882774324</v>
      </c>
      <c r="W73">
        <v>0.6389062783631386</v>
      </c>
      <c r="Y73">
        <v>0</v>
      </c>
      <c r="Z73">
        <v>0</v>
      </c>
      <c r="AA73">
        <v>0</v>
      </c>
      <c r="AB73">
        <v>0</v>
      </c>
      <c r="AC73">
        <v>7.93201867445237E-05</v>
      </c>
      <c r="AD73">
        <v>0</v>
      </c>
      <c r="AE73">
        <v>5.259759024999435E-06</v>
      </c>
      <c r="AF73">
        <v>0</v>
      </c>
      <c r="AG73">
        <v>0</v>
      </c>
      <c r="AH73">
        <v>0</v>
      </c>
      <c r="AI73">
        <v>0</v>
      </c>
      <c r="AJ73">
        <v>0</v>
      </c>
      <c r="AK73">
        <v>0</v>
      </c>
      <c r="AL73">
        <v>0</v>
      </c>
      <c r="AM73">
        <v>0</v>
      </c>
      <c r="AN73">
        <v>0</v>
      </c>
      <c r="AO73">
        <v>8.457994576952314E-05</v>
      </c>
      <c r="AP73">
        <v>2.8996054379455054</v>
      </c>
      <c r="AQ73">
        <v>1</v>
      </c>
      <c r="AR73">
        <v>1.8525761190792815</v>
      </c>
      <c r="AS73">
        <v>0.6389062783631386</v>
      </c>
      <c r="AT73">
        <v>2</v>
      </c>
      <c r="AU73">
        <v>0</v>
      </c>
      <c r="AV73">
        <v>0</v>
      </c>
      <c r="AW73" s="53">
        <f>100*(B77+B78+B79+B80+B85+B86+B87+B88)/B89</f>
        <v>91.32231404958678</v>
      </c>
      <c r="AX73" s="53">
        <f>100*(W77+W78+W79+W80+W85+W86+W87+W88)/W89</f>
        <v>93.51399277509</v>
      </c>
      <c r="AY73" s="53" t="s">
        <v>93</v>
      </c>
    </row>
    <row r="74" spans="1:51" ht="12.75">
      <c r="A74" t="s">
        <v>8</v>
      </c>
      <c r="B74">
        <v>1</v>
      </c>
      <c r="F74">
        <v>0</v>
      </c>
      <c r="G74">
        <v>0</v>
      </c>
      <c r="H74">
        <v>0</v>
      </c>
      <c r="I74">
        <v>0</v>
      </c>
      <c r="J74">
        <v>0</v>
      </c>
      <c r="K74">
        <v>0</v>
      </c>
      <c r="L74">
        <v>0</v>
      </c>
      <c r="M74">
        <v>0.003677551417705963</v>
      </c>
      <c r="N74">
        <v>0</v>
      </c>
      <c r="O74">
        <v>0</v>
      </c>
      <c r="P74">
        <v>0</v>
      </c>
      <c r="Q74">
        <v>0</v>
      </c>
      <c r="R74">
        <v>0</v>
      </c>
      <c r="S74">
        <v>0</v>
      </c>
      <c r="T74">
        <v>0</v>
      </c>
      <c r="U74">
        <v>0.0003262026736414378</v>
      </c>
      <c r="V74">
        <v>0.004003754091347401</v>
      </c>
      <c r="W74">
        <v>0.968908490106071</v>
      </c>
      <c r="Y74">
        <v>0</v>
      </c>
      <c r="Z74">
        <v>0</v>
      </c>
      <c r="AA74">
        <v>0</v>
      </c>
      <c r="AB74">
        <v>0</v>
      </c>
      <c r="AC74">
        <v>0</v>
      </c>
      <c r="AD74">
        <v>0</v>
      </c>
      <c r="AE74">
        <v>0</v>
      </c>
      <c r="AF74">
        <v>2.2031588421784025E-05</v>
      </c>
      <c r="AG74">
        <v>0</v>
      </c>
      <c r="AH74">
        <v>0</v>
      </c>
      <c r="AI74">
        <v>0</v>
      </c>
      <c r="AJ74">
        <v>0</v>
      </c>
      <c r="AK74">
        <v>0</v>
      </c>
      <c r="AL74">
        <v>0</v>
      </c>
      <c r="AM74">
        <v>0</v>
      </c>
      <c r="AN74">
        <v>5.308788939552293E-07</v>
      </c>
      <c r="AO74">
        <v>2.2562467315739255E-05</v>
      </c>
      <c r="AP74">
        <v>0.0009977020506636849</v>
      </c>
      <c r="AQ74">
        <v>1</v>
      </c>
      <c r="AR74">
        <v>0.0009666819874842817</v>
      </c>
      <c r="AS74">
        <v>0.968908490106071</v>
      </c>
      <c r="AT74">
        <v>1</v>
      </c>
      <c r="AU74">
        <v>0</v>
      </c>
      <c r="AV74">
        <v>0</v>
      </c>
      <c r="AW74" s="53">
        <f>100*(B75+B76+B79+B80+B83+B84+B87+B88)/B89</f>
        <v>83.05785123966942</v>
      </c>
      <c r="AX74" s="53">
        <f>100*(W75+W76+W79+W80+W83+W84+W87+W88)/W89</f>
        <v>85.25920853639744</v>
      </c>
      <c r="AY74" s="53" t="s">
        <v>94</v>
      </c>
    </row>
    <row r="75" spans="1:51" ht="12.75">
      <c r="A75" t="s">
        <v>9</v>
      </c>
      <c r="B75">
        <v>1</v>
      </c>
      <c r="F75">
        <v>0</v>
      </c>
      <c r="G75">
        <v>0</v>
      </c>
      <c r="H75">
        <v>0</v>
      </c>
      <c r="I75">
        <v>0</v>
      </c>
      <c r="J75">
        <v>0.00023452240211210924</v>
      </c>
      <c r="K75">
        <v>0</v>
      </c>
      <c r="L75">
        <v>0.006596824951965605</v>
      </c>
      <c r="M75">
        <v>0</v>
      </c>
      <c r="N75">
        <v>0</v>
      </c>
      <c r="O75">
        <v>0</v>
      </c>
      <c r="P75">
        <v>0</v>
      </c>
      <c r="Q75">
        <v>0</v>
      </c>
      <c r="R75">
        <v>0</v>
      </c>
      <c r="S75">
        <v>0</v>
      </c>
      <c r="T75">
        <v>0</v>
      </c>
      <c r="U75">
        <v>0</v>
      </c>
      <c r="V75">
        <v>0.006831347354077714</v>
      </c>
      <c r="W75">
        <v>1.6531860596868069</v>
      </c>
      <c r="Y75">
        <v>0</v>
      </c>
      <c r="Z75">
        <v>0</v>
      </c>
      <c r="AA75">
        <v>0</v>
      </c>
      <c r="AB75">
        <v>0</v>
      </c>
      <c r="AC75">
        <v>1.4049840375162474E-06</v>
      </c>
      <c r="AD75">
        <v>0</v>
      </c>
      <c r="AE75">
        <v>0.00029694648263171066</v>
      </c>
      <c r="AF75">
        <v>0</v>
      </c>
      <c r="AG75">
        <v>0</v>
      </c>
      <c r="AH75">
        <v>0</v>
      </c>
      <c r="AI75">
        <v>0</v>
      </c>
      <c r="AJ75">
        <v>0</v>
      </c>
      <c r="AK75">
        <v>0</v>
      </c>
      <c r="AL75">
        <v>0</v>
      </c>
      <c r="AM75">
        <v>0</v>
      </c>
      <c r="AN75">
        <v>0</v>
      </c>
      <c r="AO75">
        <v>0.0002983514666692269</v>
      </c>
      <c r="AP75">
        <v>0.2580786512620396</v>
      </c>
      <c r="AQ75">
        <v>1</v>
      </c>
      <c r="AR75">
        <v>0.42665202856917683</v>
      </c>
      <c r="AS75">
        <v>1.6531860596868069</v>
      </c>
      <c r="AT75">
        <v>1</v>
      </c>
      <c r="AU75">
        <v>0</v>
      </c>
      <c r="AV75">
        <v>0</v>
      </c>
      <c r="AW75" s="53">
        <f>100*(B74+B76+B78+B80+B82+B84+B86+B88)/B89</f>
        <v>80.57851239669421</v>
      </c>
      <c r="AX75" s="53">
        <f>100*(W74+W76+W78+W80+W82+W84+W86+W88)/W89</f>
        <v>81.43011138850754</v>
      </c>
      <c r="AY75" s="53" t="s">
        <v>95</v>
      </c>
    </row>
    <row r="76" spans="1:51" ht="12.75">
      <c r="A76" t="s">
        <v>10</v>
      </c>
      <c r="B76">
        <v>3</v>
      </c>
      <c r="F76">
        <v>0</v>
      </c>
      <c r="G76">
        <v>0</v>
      </c>
      <c r="H76">
        <v>0</v>
      </c>
      <c r="I76">
        <v>0</v>
      </c>
      <c r="J76">
        <v>0</v>
      </c>
      <c r="K76">
        <v>0</v>
      </c>
      <c r="L76">
        <v>0</v>
      </c>
      <c r="M76">
        <v>0.027632165569082698</v>
      </c>
      <c r="N76">
        <v>0</v>
      </c>
      <c r="O76">
        <v>0</v>
      </c>
      <c r="P76">
        <v>0</v>
      </c>
      <c r="Q76">
        <v>0</v>
      </c>
      <c r="R76">
        <v>0</v>
      </c>
      <c r="S76">
        <v>0</v>
      </c>
      <c r="T76">
        <v>0</v>
      </c>
      <c r="U76">
        <v>0.002451002110736047</v>
      </c>
      <c r="V76">
        <v>0.030083167679818744</v>
      </c>
      <c r="W76">
        <v>7.280126578516136</v>
      </c>
      <c r="Y76">
        <v>0</v>
      </c>
      <c r="Z76">
        <v>0</v>
      </c>
      <c r="AA76">
        <v>0</v>
      </c>
      <c r="AB76">
        <v>0</v>
      </c>
      <c r="AC76">
        <v>0</v>
      </c>
      <c r="AD76">
        <v>0</v>
      </c>
      <c r="AE76">
        <v>0</v>
      </c>
      <c r="AF76">
        <v>0.0012438217525828554</v>
      </c>
      <c r="AG76">
        <v>0</v>
      </c>
      <c r="AH76">
        <v>0</v>
      </c>
      <c r="AI76">
        <v>0</v>
      </c>
      <c r="AJ76">
        <v>0</v>
      </c>
      <c r="AK76">
        <v>0</v>
      </c>
      <c r="AL76">
        <v>0</v>
      </c>
      <c r="AM76">
        <v>0</v>
      </c>
      <c r="AN76">
        <v>2.997145297230327E-05</v>
      </c>
      <c r="AO76">
        <v>0.0012737932055551587</v>
      </c>
      <c r="AP76">
        <v>2.5163688200396916</v>
      </c>
      <c r="AQ76">
        <v>0</v>
      </c>
      <c r="AR76">
        <v>18.319483528120248</v>
      </c>
      <c r="AS76">
        <v>0</v>
      </c>
      <c r="AT76">
        <v>0</v>
      </c>
      <c r="AU76">
        <v>2.5163688200396916</v>
      </c>
      <c r="AV76">
        <v>1</v>
      </c>
      <c r="AW76" s="53">
        <f>100*(B81+B82+B83+B84+B85+B86+B87+B88)/B89</f>
        <v>35.12396694214876</v>
      </c>
      <c r="AX76" s="53">
        <f>100*(W81+W82+W83+W84+W85+W86+W87+W88)/W89</f>
        <v>32.84253901810034</v>
      </c>
      <c r="AY76" s="53" t="s">
        <v>96</v>
      </c>
    </row>
    <row r="77" spans="1:48" ht="12.75">
      <c r="A77" t="s">
        <v>11</v>
      </c>
      <c r="B77">
        <v>6</v>
      </c>
      <c r="F77">
        <v>0</v>
      </c>
      <c r="G77">
        <v>0</v>
      </c>
      <c r="H77">
        <v>0</v>
      </c>
      <c r="I77">
        <v>0</v>
      </c>
      <c r="J77">
        <v>0.02540619781175347</v>
      </c>
      <c r="K77">
        <v>0</v>
      </c>
      <c r="L77">
        <v>0.012658375181850395</v>
      </c>
      <c r="M77">
        <v>0</v>
      </c>
      <c r="N77">
        <v>0</v>
      </c>
      <c r="O77">
        <v>0</v>
      </c>
      <c r="P77">
        <v>0</v>
      </c>
      <c r="Q77">
        <v>0</v>
      </c>
      <c r="R77">
        <v>0</v>
      </c>
      <c r="S77">
        <v>0</v>
      </c>
      <c r="T77">
        <v>0</v>
      </c>
      <c r="U77">
        <v>0</v>
      </c>
      <c r="V77">
        <v>0.038064572993603864</v>
      </c>
      <c r="W77">
        <v>9.211626664452135</v>
      </c>
      <c r="Y77">
        <v>0</v>
      </c>
      <c r="Z77">
        <v>0</v>
      </c>
      <c r="AA77">
        <v>0</v>
      </c>
      <c r="AB77">
        <v>0</v>
      </c>
      <c r="AC77">
        <v>0.016488535088338436</v>
      </c>
      <c r="AD77">
        <v>0</v>
      </c>
      <c r="AE77">
        <v>0.0010933625448870433</v>
      </c>
      <c r="AF77">
        <v>0</v>
      </c>
      <c r="AG77">
        <v>0</v>
      </c>
      <c r="AH77">
        <v>0</v>
      </c>
      <c r="AI77">
        <v>0</v>
      </c>
      <c r="AJ77">
        <v>0</v>
      </c>
      <c r="AK77">
        <v>0</v>
      </c>
      <c r="AL77">
        <v>0</v>
      </c>
      <c r="AM77">
        <v>0</v>
      </c>
      <c r="AN77">
        <v>0</v>
      </c>
      <c r="AO77">
        <v>0.017581897633225478</v>
      </c>
      <c r="AP77">
        <v>1.1197312057406756</v>
      </c>
      <c r="AQ77">
        <v>0</v>
      </c>
      <c r="AR77">
        <v>10.314545831819947</v>
      </c>
      <c r="AS77">
        <v>0</v>
      </c>
      <c r="AT77">
        <v>0</v>
      </c>
      <c r="AU77">
        <v>1.1197312057406756</v>
      </c>
      <c r="AV77">
        <v>1</v>
      </c>
    </row>
    <row r="78" spans="1:48" ht="12.75">
      <c r="A78" t="s">
        <v>12</v>
      </c>
      <c r="B78">
        <v>15</v>
      </c>
      <c r="F78">
        <v>0</v>
      </c>
      <c r="G78">
        <v>0</v>
      </c>
      <c r="H78">
        <v>0</v>
      </c>
      <c r="I78">
        <v>0</v>
      </c>
      <c r="J78">
        <v>0</v>
      </c>
      <c r="K78">
        <v>0</v>
      </c>
      <c r="L78">
        <v>0</v>
      </c>
      <c r="M78">
        <v>0.053022222267128175</v>
      </c>
      <c r="N78">
        <v>0</v>
      </c>
      <c r="O78">
        <v>0</v>
      </c>
      <c r="P78">
        <v>0</v>
      </c>
      <c r="Q78">
        <v>0</v>
      </c>
      <c r="R78">
        <v>0</v>
      </c>
      <c r="S78">
        <v>0</v>
      </c>
      <c r="T78">
        <v>0</v>
      </c>
      <c r="U78">
        <v>0.004703126809505477</v>
      </c>
      <c r="V78">
        <v>0.05772534907663365</v>
      </c>
      <c r="W78">
        <v>13.969534476545345</v>
      </c>
      <c r="Y78">
        <v>0</v>
      </c>
      <c r="Z78">
        <v>0</v>
      </c>
      <c r="AA78">
        <v>0</v>
      </c>
      <c r="AB78">
        <v>0</v>
      </c>
      <c r="AC78">
        <v>0</v>
      </c>
      <c r="AD78">
        <v>0</v>
      </c>
      <c r="AE78">
        <v>0</v>
      </c>
      <c r="AF78">
        <v>0.0045797751323309495</v>
      </c>
      <c r="AG78">
        <v>0</v>
      </c>
      <c r="AH78">
        <v>0</v>
      </c>
      <c r="AI78">
        <v>0</v>
      </c>
      <c r="AJ78">
        <v>0</v>
      </c>
      <c r="AK78">
        <v>0</v>
      </c>
      <c r="AL78">
        <v>0</v>
      </c>
      <c r="AM78">
        <v>0</v>
      </c>
      <c r="AN78">
        <v>0.00011035545464400256</v>
      </c>
      <c r="AO78">
        <v>0.004690130586974952</v>
      </c>
      <c r="AP78">
        <v>0.0760124968238221</v>
      </c>
      <c r="AQ78">
        <v>0</v>
      </c>
      <c r="AR78">
        <v>1.0618591950286764</v>
      </c>
      <c r="AS78">
        <v>0</v>
      </c>
      <c r="AT78">
        <v>0</v>
      </c>
      <c r="AU78">
        <v>0.0760124968238221</v>
      </c>
      <c r="AV78">
        <v>1</v>
      </c>
    </row>
    <row r="79" spans="1:48" ht="12.75">
      <c r="A79" t="s">
        <v>13</v>
      </c>
      <c r="B79">
        <v>25</v>
      </c>
      <c r="F79">
        <v>0</v>
      </c>
      <c r="G79">
        <v>0</v>
      </c>
      <c r="H79">
        <v>0</v>
      </c>
      <c r="I79">
        <v>0</v>
      </c>
      <c r="J79">
        <v>0.003381298456233656</v>
      </c>
      <c r="K79">
        <v>0</v>
      </c>
      <c r="L79">
        <v>0.09511174124620322</v>
      </c>
      <c r="M79">
        <v>0</v>
      </c>
      <c r="N79">
        <v>0</v>
      </c>
      <c r="O79">
        <v>0</v>
      </c>
      <c r="P79">
        <v>0</v>
      </c>
      <c r="Q79">
        <v>0</v>
      </c>
      <c r="R79">
        <v>0</v>
      </c>
      <c r="S79">
        <v>0</v>
      </c>
      <c r="T79">
        <v>0</v>
      </c>
      <c r="U79">
        <v>0</v>
      </c>
      <c r="V79">
        <v>0.09849303970243688</v>
      </c>
      <c r="W79">
        <v>23.835315607989724</v>
      </c>
      <c r="Y79">
        <v>0</v>
      </c>
      <c r="Z79">
        <v>0</v>
      </c>
      <c r="AA79">
        <v>0</v>
      </c>
      <c r="AB79">
        <v>0</v>
      </c>
      <c r="AC79">
        <v>0.00029205842235036653</v>
      </c>
      <c r="AD79">
        <v>0</v>
      </c>
      <c r="AE79">
        <v>0.06172719328058916</v>
      </c>
      <c r="AF79">
        <v>0</v>
      </c>
      <c r="AG79">
        <v>0</v>
      </c>
      <c r="AH79">
        <v>0</v>
      </c>
      <c r="AI79">
        <v>0</v>
      </c>
      <c r="AJ79">
        <v>0</v>
      </c>
      <c r="AK79">
        <v>0</v>
      </c>
      <c r="AL79">
        <v>0</v>
      </c>
      <c r="AM79">
        <v>0</v>
      </c>
      <c r="AN79">
        <v>0</v>
      </c>
      <c r="AO79">
        <v>0.06201925170293953</v>
      </c>
      <c r="AP79">
        <v>0.05691091971686097</v>
      </c>
      <c r="AQ79">
        <v>0</v>
      </c>
      <c r="AR79">
        <v>1.3564897329923464</v>
      </c>
      <c r="AS79">
        <v>0</v>
      </c>
      <c r="AT79">
        <v>0</v>
      </c>
      <c r="AU79">
        <v>0.05691091971686097</v>
      </c>
      <c r="AV79">
        <v>1</v>
      </c>
    </row>
    <row r="80" spans="1:48" ht="12.75">
      <c r="A80" t="s">
        <v>14</v>
      </c>
      <c r="B80">
        <v>104</v>
      </c>
      <c r="F80">
        <v>0</v>
      </c>
      <c r="G80">
        <v>0</v>
      </c>
      <c r="H80">
        <v>0</v>
      </c>
      <c r="I80">
        <v>0</v>
      </c>
      <c r="J80">
        <v>0</v>
      </c>
      <c r="K80">
        <v>0</v>
      </c>
      <c r="L80">
        <v>0</v>
      </c>
      <c r="M80">
        <v>0.3983951978134196</v>
      </c>
      <c r="N80">
        <v>0</v>
      </c>
      <c r="O80">
        <v>0</v>
      </c>
      <c r="P80">
        <v>0</v>
      </c>
      <c r="Q80">
        <v>0</v>
      </c>
      <c r="R80">
        <v>0</v>
      </c>
      <c r="S80">
        <v>0</v>
      </c>
      <c r="T80">
        <v>0</v>
      </c>
      <c r="U80">
        <v>0.03533807251938134</v>
      </c>
      <c r="V80">
        <v>0.43373327033280096</v>
      </c>
      <c r="W80">
        <v>104.96345142053784</v>
      </c>
      <c r="Y80">
        <v>0</v>
      </c>
      <c r="Z80">
        <v>0</v>
      </c>
      <c r="AA80">
        <v>0</v>
      </c>
      <c r="AB80">
        <v>0</v>
      </c>
      <c r="AC80">
        <v>0</v>
      </c>
      <c r="AD80">
        <v>0</v>
      </c>
      <c r="AE80">
        <v>0</v>
      </c>
      <c r="AF80">
        <v>0.2585571145609658</v>
      </c>
      <c r="AG80">
        <v>0</v>
      </c>
      <c r="AH80">
        <v>0</v>
      </c>
      <c r="AI80">
        <v>0</v>
      </c>
      <c r="AJ80">
        <v>0</v>
      </c>
      <c r="AK80">
        <v>0</v>
      </c>
      <c r="AL80">
        <v>0</v>
      </c>
      <c r="AM80">
        <v>0</v>
      </c>
      <c r="AN80">
        <v>0.006230259587940602</v>
      </c>
      <c r="AO80">
        <v>0.2647873741489064</v>
      </c>
      <c r="AP80">
        <v>0.008843446239371184</v>
      </c>
      <c r="AQ80">
        <v>0</v>
      </c>
      <c r="AR80">
        <v>0.9282386397363753</v>
      </c>
      <c r="AS80">
        <v>0</v>
      </c>
      <c r="AT80">
        <v>0</v>
      </c>
      <c r="AU80">
        <v>0.008843446239371184</v>
      </c>
      <c r="AV80">
        <v>1</v>
      </c>
    </row>
    <row r="81" spans="1:48" ht="12.75">
      <c r="A81" t="s">
        <v>7</v>
      </c>
      <c r="B81">
        <v>7</v>
      </c>
      <c r="F81">
        <v>0</v>
      </c>
      <c r="G81">
        <v>0</v>
      </c>
      <c r="H81">
        <v>0</v>
      </c>
      <c r="I81">
        <v>0</v>
      </c>
      <c r="J81">
        <v>0.0004786977538773083</v>
      </c>
      <c r="K81">
        <v>0</v>
      </c>
      <c r="L81">
        <v>0.00023850620278508466</v>
      </c>
      <c r="M81">
        <v>0</v>
      </c>
      <c r="N81">
        <v>0</v>
      </c>
      <c r="O81">
        <v>0</v>
      </c>
      <c r="P81">
        <v>0</v>
      </c>
      <c r="Q81">
        <v>0</v>
      </c>
      <c r="R81">
        <v>0</v>
      </c>
      <c r="S81">
        <v>0</v>
      </c>
      <c r="T81">
        <v>0</v>
      </c>
      <c r="U81">
        <v>0</v>
      </c>
      <c r="V81">
        <v>0.000717203956662393</v>
      </c>
      <c r="W81">
        <v>0.1735633575122991</v>
      </c>
      <c r="Y81">
        <v>0</v>
      </c>
      <c r="Z81">
        <v>0</v>
      </c>
      <c r="AA81">
        <v>0</v>
      </c>
      <c r="AB81">
        <v>0</v>
      </c>
      <c r="AC81">
        <v>5.85363315495979E-06</v>
      </c>
      <c r="AD81">
        <v>0</v>
      </c>
      <c r="AE81">
        <v>3.8815717762995977E-07</v>
      </c>
      <c r="AF81">
        <v>0</v>
      </c>
      <c r="AG81">
        <v>0</v>
      </c>
      <c r="AH81">
        <v>0</v>
      </c>
      <c r="AI81">
        <v>0</v>
      </c>
      <c r="AJ81">
        <v>0</v>
      </c>
      <c r="AK81">
        <v>0</v>
      </c>
      <c r="AL81">
        <v>0</v>
      </c>
      <c r="AM81">
        <v>0</v>
      </c>
      <c r="AN81">
        <v>0</v>
      </c>
      <c r="AO81">
        <v>6.241790332589749E-06</v>
      </c>
      <c r="AP81">
        <v>268.491217857413</v>
      </c>
      <c r="AQ81">
        <v>1</v>
      </c>
      <c r="AR81">
        <v>46.60023723389875</v>
      </c>
      <c r="AS81">
        <v>0.1735633575122991</v>
      </c>
      <c r="AT81">
        <v>7</v>
      </c>
      <c r="AU81">
        <v>0</v>
      </c>
      <c r="AV81">
        <v>0</v>
      </c>
    </row>
    <row r="82" spans="1:48" ht="12.75">
      <c r="A82" t="s">
        <v>15</v>
      </c>
      <c r="B82">
        <v>3</v>
      </c>
      <c r="F82">
        <v>0</v>
      </c>
      <c r="G82">
        <v>0</v>
      </c>
      <c r="H82">
        <v>0</v>
      </c>
      <c r="I82">
        <v>0</v>
      </c>
      <c r="J82">
        <v>0</v>
      </c>
      <c r="K82">
        <v>0</v>
      </c>
      <c r="L82">
        <v>0</v>
      </c>
      <c r="M82">
        <v>0.0009990325546908698</v>
      </c>
      <c r="N82">
        <v>0</v>
      </c>
      <c r="O82">
        <v>0</v>
      </c>
      <c r="P82">
        <v>0</v>
      </c>
      <c r="Q82">
        <v>0</v>
      </c>
      <c r="R82">
        <v>0</v>
      </c>
      <c r="S82">
        <v>0</v>
      </c>
      <c r="T82">
        <v>0</v>
      </c>
      <c r="U82">
        <v>0.0012007888024036866</v>
      </c>
      <c r="V82">
        <v>0.0021998213570945564</v>
      </c>
      <c r="W82">
        <v>0.5323567684168826</v>
      </c>
      <c r="Y82">
        <v>0</v>
      </c>
      <c r="Z82">
        <v>0</v>
      </c>
      <c r="AA82">
        <v>0</v>
      </c>
      <c r="AB82">
        <v>0</v>
      </c>
      <c r="AC82">
        <v>0</v>
      </c>
      <c r="AD82">
        <v>0</v>
      </c>
      <c r="AE82">
        <v>0</v>
      </c>
      <c r="AF82">
        <v>1.6258766114300278E-06</v>
      </c>
      <c r="AG82">
        <v>0</v>
      </c>
      <c r="AH82">
        <v>0</v>
      </c>
      <c r="AI82">
        <v>0</v>
      </c>
      <c r="AJ82">
        <v>0</v>
      </c>
      <c r="AK82">
        <v>0</v>
      </c>
      <c r="AL82">
        <v>0</v>
      </c>
      <c r="AM82">
        <v>0</v>
      </c>
      <c r="AN82">
        <v>7.193722580919789E-06</v>
      </c>
      <c r="AO82">
        <v>8.819599192349817E-06</v>
      </c>
      <c r="AP82">
        <v>11.438312574640802</v>
      </c>
      <c r="AQ82">
        <v>1</v>
      </c>
      <c r="AR82">
        <v>6.08926311837797</v>
      </c>
      <c r="AS82">
        <v>0.5323567684168826</v>
      </c>
      <c r="AT82">
        <v>3</v>
      </c>
      <c r="AU82">
        <v>0</v>
      </c>
      <c r="AV82">
        <v>0</v>
      </c>
    </row>
    <row r="83" spans="1:48" ht="12.75">
      <c r="A83" t="s">
        <v>16</v>
      </c>
      <c r="B83">
        <v>2</v>
      </c>
      <c r="F83">
        <v>0</v>
      </c>
      <c r="G83">
        <v>0</v>
      </c>
      <c r="H83">
        <v>0</v>
      </c>
      <c r="I83">
        <v>0</v>
      </c>
      <c r="J83">
        <v>6.370965022712103E-05</v>
      </c>
      <c r="K83">
        <v>0</v>
      </c>
      <c r="L83">
        <v>0.001792073620746751</v>
      </c>
      <c r="M83">
        <v>0</v>
      </c>
      <c r="N83">
        <v>0</v>
      </c>
      <c r="O83">
        <v>0</v>
      </c>
      <c r="P83">
        <v>0</v>
      </c>
      <c r="Q83">
        <v>0</v>
      </c>
      <c r="R83">
        <v>0</v>
      </c>
      <c r="S83">
        <v>0</v>
      </c>
      <c r="T83">
        <v>0</v>
      </c>
      <c r="U83">
        <v>0</v>
      </c>
      <c r="V83">
        <v>0.001855783270973872</v>
      </c>
      <c r="W83">
        <v>0.44909955157567705</v>
      </c>
      <c r="Y83">
        <v>0</v>
      </c>
      <c r="Z83">
        <v>0</v>
      </c>
      <c r="AA83">
        <v>0</v>
      </c>
      <c r="AB83">
        <v>0</v>
      </c>
      <c r="AC83">
        <v>1.0368433915420884E-07</v>
      </c>
      <c r="AD83">
        <v>0</v>
      </c>
      <c r="AE83">
        <v>2.1913914317677527E-05</v>
      </c>
      <c r="AF83">
        <v>0</v>
      </c>
      <c r="AG83">
        <v>0</v>
      </c>
      <c r="AH83">
        <v>0</v>
      </c>
      <c r="AI83">
        <v>0</v>
      </c>
      <c r="AJ83">
        <v>0</v>
      </c>
      <c r="AK83">
        <v>0</v>
      </c>
      <c r="AL83">
        <v>0</v>
      </c>
      <c r="AM83">
        <v>0</v>
      </c>
      <c r="AN83">
        <v>0</v>
      </c>
      <c r="AO83">
        <v>2.2017598656831735E-05</v>
      </c>
      <c r="AP83">
        <v>5.355810738362437</v>
      </c>
      <c r="AQ83">
        <v>1</v>
      </c>
      <c r="AR83">
        <v>2.405292200922766</v>
      </c>
      <c r="AS83">
        <v>0.44909955157567705</v>
      </c>
      <c r="AT83">
        <v>2</v>
      </c>
      <c r="AU83">
        <v>0</v>
      </c>
      <c r="AV83">
        <v>0</v>
      </c>
    </row>
    <row r="84" spans="1:48" ht="12.75">
      <c r="A84" t="s">
        <v>17</v>
      </c>
      <c r="B84">
        <v>2</v>
      </c>
      <c r="F84">
        <v>0</v>
      </c>
      <c r="G84">
        <v>0</v>
      </c>
      <c r="H84">
        <v>0</v>
      </c>
      <c r="I84">
        <v>0</v>
      </c>
      <c r="J84">
        <v>0</v>
      </c>
      <c r="K84">
        <v>0</v>
      </c>
      <c r="L84">
        <v>0</v>
      </c>
      <c r="M84">
        <v>0.007506470970660663</v>
      </c>
      <c r="N84">
        <v>0</v>
      </c>
      <c r="O84">
        <v>0</v>
      </c>
      <c r="P84">
        <v>0</v>
      </c>
      <c r="Q84">
        <v>0</v>
      </c>
      <c r="R84">
        <v>0</v>
      </c>
      <c r="S84">
        <v>0</v>
      </c>
      <c r="T84">
        <v>0</v>
      </c>
      <c r="U84">
        <v>0.009022414980187266</v>
      </c>
      <c r="V84">
        <v>0.01652888595084793</v>
      </c>
      <c r="W84">
        <v>3.9999904001051987</v>
      </c>
      <c r="Y84">
        <v>0</v>
      </c>
      <c r="Z84">
        <v>0</v>
      </c>
      <c r="AA84">
        <v>0</v>
      </c>
      <c r="AB84">
        <v>0</v>
      </c>
      <c r="AC84">
        <v>0</v>
      </c>
      <c r="AD84">
        <v>0</v>
      </c>
      <c r="AE84">
        <v>0</v>
      </c>
      <c r="AF84">
        <v>9.17909620312621E-05</v>
      </c>
      <c r="AG84">
        <v>0</v>
      </c>
      <c r="AH84">
        <v>0</v>
      </c>
      <c r="AI84">
        <v>0</v>
      </c>
      <c r="AJ84">
        <v>0</v>
      </c>
      <c r="AK84">
        <v>0</v>
      </c>
      <c r="AL84">
        <v>0</v>
      </c>
      <c r="AM84">
        <v>0</v>
      </c>
      <c r="AN84">
        <v>0.00040613089065095955</v>
      </c>
      <c r="AO84">
        <v>0.0004979218526822216</v>
      </c>
      <c r="AP84">
        <v>0.9999928000846589</v>
      </c>
      <c r="AQ84">
        <v>1</v>
      </c>
      <c r="AR84">
        <v>3.9999616005129526</v>
      </c>
      <c r="AS84">
        <v>3.9999904001051987</v>
      </c>
      <c r="AT84">
        <v>2</v>
      </c>
      <c r="AU84">
        <v>0</v>
      </c>
      <c r="AV84">
        <v>0</v>
      </c>
    </row>
    <row r="85" spans="1:48" ht="12.75">
      <c r="A85" t="s">
        <v>18</v>
      </c>
      <c r="B85">
        <v>2</v>
      </c>
      <c r="F85">
        <v>0</v>
      </c>
      <c r="G85">
        <v>0</v>
      </c>
      <c r="H85">
        <v>0</v>
      </c>
      <c r="I85">
        <v>0</v>
      </c>
      <c r="J85">
        <v>0.006901771266243933</v>
      </c>
      <c r="K85">
        <v>0</v>
      </c>
      <c r="L85">
        <v>0.003438736120798575</v>
      </c>
      <c r="M85">
        <v>0</v>
      </c>
      <c r="N85">
        <v>0</v>
      </c>
      <c r="O85">
        <v>0</v>
      </c>
      <c r="P85">
        <v>0</v>
      </c>
      <c r="Q85">
        <v>0</v>
      </c>
      <c r="R85">
        <v>0</v>
      </c>
      <c r="S85">
        <v>0</v>
      </c>
      <c r="T85">
        <v>0</v>
      </c>
      <c r="U85">
        <v>0</v>
      </c>
      <c r="V85">
        <v>0.010340507387042508</v>
      </c>
      <c r="W85">
        <v>2.5024027876642867</v>
      </c>
      <c r="Y85">
        <v>0</v>
      </c>
      <c r="Z85">
        <v>0</v>
      </c>
      <c r="AA85">
        <v>0</v>
      </c>
      <c r="AB85">
        <v>0</v>
      </c>
      <c r="AC85">
        <v>0.001216813016094914</v>
      </c>
      <c r="AD85">
        <v>0</v>
      </c>
      <c r="AE85">
        <v>8.068744547659396E-05</v>
      </c>
      <c r="AF85">
        <v>0</v>
      </c>
      <c r="AG85">
        <v>0</v>
      </c>
      <c r="AH85">
        <v>0</v>
      </c>
      <c r="AI85">
        <v>0</v>
      </c>
      <c r="AJ85">
        <v>0</v>
      </c>
      <c r="AK85">
        <v>0</v>
      </c>
      <c r="AL85">
        <v>0</v>
      </c>
      <c r="AM85">
        <v>0</v>
      </c>
      <c r="AN85">
        <v>0</v>
      </c>
      <c r="AO85">
        <v>0.001297500461571508</v>
      </c>
      <c r="AP85">
        <v>0.10086648012746244</v>
      </c>
      <c r="AQ85">
        <v>1</v>
      </c>
      <c r="AR85">
        <v>0.25240856105284637</v>
      </c>
      <c r="AS85">
        <v>2.5024027876642867</v>
      </c>
      <c r="AT85">
        <v>2</v>
      </c>
      <c r="AU85">
        <v>0</v>
      </c>
      <c r="AV85">
        <v>0</v>
      </c>
    </row>
    <row r="86" spans="1:48" ht="12.75">
      <c r="A86" t="s">
        <v>19</v>
      </c>
      <c r="B86">
        <v>5</v>
      </c>
      <c r="F86">
        <v>0</v>
      </c>
      <c r="G86">
        <v>0</v>
      </c>
      <c r="H86">
        <v>0</v>
      </c>
      <c r="I86">
        <v>0</v>
      </c>
      <c r="J86">
        <v>0</v>
      </c>
      <c r="K86">
        <v>0</v>
      </c>
      <c r="L86">
        <v>0</v>
      </c>
      <c r="M86">
        <v>0.014403857390513159</v>
      </c>
      <c r="N86">
        <v>0</v>
      </c>
      <c r="O86">
        <v>0</v>
      </c>
      <c r="P86">
        <v>0</v>
      </c>
      <c r="Q86">
        <v>0</v>
      </c>
      <c r="R86">
        <v>0</v>
      </c>
      <c r="S86">
        <v>0</v>
      </c>
      <c r="T86">
        <v>0</v>
      </c>
      <c r="U86">
        <v>0.017312739794850505</v>
      </c>
      <c r="V86">
        <v>0.03171659718536367</v>
      </c>
      <c r="W86">
        <v>7.6754165188580075</v>
      </c>
      <c r="Y86">
        <v>0</v>
      </c>
      <c r="Z86">
        <v>0</v>
      </c>
      <c r="AA86">
        <v>0</v>
      </c>
      <c r="AB86">
        <v>0</v>
      </c>
      <c r="AC86">
        <v>0</v>
      </c>
      <c r="AD86">
        <v>0</v>
      </c>
      <c r="AE86">
        <v>0</v>
      </c>
      <c r="AF86">
        <v>0.000337976051962884</v>
      </c>
      <c r="AG86">
        <v>0</v>
      </c>
      <c r="AH86">
        <v>0</v>
      </c>
      <c r="AI86">
        <v>0</v>
      </c>
      <c r="AJ86">
        <v>0</v>
      </c>
      <c r="AK86">
        <v>0</v>
      </c>
      <c r="AL86">
        <v>0</v>
      </c>
      <c r="AM86">
        <v>0</v>
      </c>
      <c r="AN86">
        <v>0.0014953815927501912</v>
      </c>
      <c r="AO86">
        <v>0.0018333576447130753</v>
      </c>
      <c r="AP86">
        <v>0.9325687448742241</v>
      </c>
      <c r="AQ86">
        <v>0</v>
      </c>
      <c r="AR86">
        <v>7.157853549378299</v>
      </c>
      <c r="AS86">
        <v>0</v>
      </c>
      <c r="AT86">
        <v>0</v>
      </c>
      <c r="AU86">
        <v>0.9325687448742241</v>
      </c>
      <c r="AV86">
        <v>1</v>
      </c>
    </row>
    <row r="87" spans="1:48" ht="12.75">
      <c r="A87" t="s">
        <v>20</v>
      </c>
      <c r="B87">
        <v>2</v>
      </c>
      <c r="F87">
        <v>0</v>
      </c>
      <c r="G87">
        <v>0</v>
      </c>
      <c r="H87">
        <v>0</v>
      </c>
      <c r="I87">
        <v>0</v>
      </c>
      <c r="J87">
        <v>0.0009185533664164509</v>
      </c>
      <c r="K87">
        <v>0</v>
      </c>
      <c r="L87">
        <v>0.025837769495433507</v>
      </c>
      <c r="M87">
        <v>0</v>
      </c>
      <c r="N87">
        <v>0</v>
      </c>
      <c r="O87">
        <v>0</v>
      </c>
      <c r="P87">
        <v>0</v>
      </c>
      <c r="Q87">
        <v>0</v>
      </c>
      <c r="R87">
        <v>0</v>
      </c>
      <c r="S87">
        <v>0</v>
      </c>
      <c r="T87">
        <v>0</v>
      </c>
      <c r="U87">
        <v>0</v>
      </c>
      <c r="V87">
        <v>0.02675632286184996</v>
      </c>
      <c r="W87">
        <v>6.4750301325676896</v>
      </c>
      <c r="Y87">
        <v>0</v>
      </c>
      <c r="Z87">
        <v>0</v>
      </c>
      <c r="AA87">
        <v>0</v>
      </c>
      <c r="AB87">
        <v>0</v>
      </c>
      <c r="AC87">
        <v>2.155318758592543E-05</v>
      </c>
      <c r="AD87">
        <v>0</v>
      </c>
      <c r="AE87">
        <v>0.0045553138485874035</v>
      </c>
      <c r="AF87">
        <v>0</v>
      </c>
      <c r="AG87">
        <v>0</v>
      </c>
      <c r="AH87">
        <v>0</v>
      </c>
      <c r="AI87">
        <v>0</v>
      </c>
      <c r="AJ87">
        <v>0</v>
      </c>
      <c r="AK87">
        <v>0</v>
      </c>
      <c r="AL87">
        <v>0</v>
      </c>
      <c r="AM87">
        <v>0</v>
      </c>
      <c r="AN87">
        <v>0</v>
      </c>
      <c r="AO87">
        <v>0.004576867036173329</v>
      </c>
      <c r="AP87">
        <v>3.0927878754824376</v>
      </c>
      <c r="AQ87">
        <v>0</v>
      </c>
      <c r="AR87">
        <v>20.025894687388792</v>
      </c>
      <c r="AS87">
        <v>0</v>
      </c>
      <c r="AT87">
        <v>0</v>
      </c>
      <c r="AU87">
        <v>3.0927878754824376</v>
      </c>
      <c r="AV87">
        <v>1</v>
      </c>
    </row>
    <row r="88" spans="1:48" ht="12.75">
      <c r="A88" t="s">
        <v>21</v>
      </c>
      <c r="B88">
        <v>62</v>
      </c>
      <c r="F88">
        <v>0</v>
      </c>
      <c r="G88">
        <v>0</v>
      </c>
      <c r="H88">
        <v>0</v>
      </c>
      <c r="I88">
        <v>0</v>
      </c>
      <c r="J88">
        <v>0</v>
      </c>
      <c r="K88">
        <v>0</v>
      </c>
      <c r="L88">
        <v>0</v>
      </c>
      <c r="M88">
        <v>0.1082268409169902</v>
      </c>
      <c r="N88">
        <v>0</v>
      </c>
      <c r="O88">
        <v>0</v>
      </c>
      <c r="P88">
        <v>0</v>
      </c>
      <c r="Q88">
        <v>0</v>
      </c>
      <c r="R88">
        <v>0</v>
      </c>
      <c r="S88">
        <v>0</v>
      </c>
      <c r="T88">
        <v>0</v>
      </c>
      <c r="U88">
        <v>0.1300834272941783</v>
      </c>
      <c r="V88">
        <v>0.2383102682111685</v>
      </c>
      <c r="W88">
        <v>57.671084907102774</v>
      </c>
      <c r="Y88">
        <v>0</v>
      </c>
      <c r="Z88">
        <v>0</v>
      </c>
      <c r="AA88">
        <v>0</v>
      </c>
      <c r="AB88">
        <v>0</v>
      </c>
      <c r="AC88">
        <v>0</v>
      </c>
      <c r="AD88">
        <v>0</v>
      </c>
      <c r="AE88">
        <v>0</v>
      </c>
      <c r="AF88">
        <v>0.01908087411744903</v>
      </c>
      <c r="AG88">
        <v>0</v>
      </c>
      <c r="AH88">
        <v>0</v>
      </c>
      <c r="AI88">
        <v>0</v>
      </c>
      <c r="AJ88">
        <v>0</v>
      </c>
      <c r="AK88">
        <v>0</v>
      </c>
      <c r="AL88">
        <v>0</v>
      </c>
      <c r="AM88">
        <v>0</v>
      </c>
      <c r="AN88">
        <v>0.08442369736880144</v>
      </c>
      <c r="AO88">
        <v>0.10350457148625047</v>
      </c>
      <c r="AP88">
        <v>0.3249376340275063</v>
      </c>
      <c r="AQ88">
        <v>0</v>
      </c>
      <c r="AR88">
        <v>18.739505881513402</v>
      </c>
      <c r="AS88">
        <v>0</v>
      </c>
      <c r="AT88">
        <v>0</v>
      </c>
      <c r="AU88">
        <v>0.3249376340275063</v>
      </c>
      <c r="AV88">
        <v>1</v>
      </c>
    </row>
    <row r="89" spans="2:48" ht="12.75">
      <c r="B89">
        <v>242</v>
      </c>
      <c r="C89">
        <v>0</v>
      </c>
      <c r="D89">
        <v>0</v>
      </c>
      <c r="E89">
        <v>0</v>
      </c>
      <c r="F89">
        <v>0</v>
      </c>
      <c r="G89">
        <v>0</v>
      </c>
      <c r="H89">
        <v>0</v>
      </c>
      <c r="I89">
        <v>0</v>
      </c>
      <c r="J89">
        <v>0.039146891084730795</v>
      </c>
      <c r="K89">
        <v>0</v>
      </c>
      <c r="L89">
        <v>0.1465519950301938</v>
      </c>
      <c r="M89">
        <v>0.6138633389001913</v>
      </c>
      <c r="N89">
        <v>0</v>
      </c>
      <c r="O89">
        <v>0</v>
      </c>
      <c r="P89">
        <v>0</v>
      </c>
      <c r="Q89">
        <v>0</v>
      </c>
      <c r="R89">
        <v>0</v>
      </c>
      <c r="S89">
        <v>0</v>
      </c>
      <c r="T89">
        <v>0</v>
      </c>
      <c r="U89">
        <v>0.20043777498488405</v>
      </c>
      <c r="V89">
        <v>1</v>
      </c>
      <c r="W89">
        <v>242</v>
      </c>
      <c r="Y89">
        <v>0</v>
      </c>
      <c r="Z89">
        <v>0</v>
      </c>
      <c r="AA89">
        <v>0</v>
      </c>
      <c r="AB89">
        <v>0</v>
      </c>
      <c r="AC89">
        <v>0.018105642202645798</v>
      </c>
      <c r="AD89">
        <v>0</v>
      </c>
      <c r="AE89">
        <v>0.06778106543269222</v>
      </c>
      <c r="AF89">
        <v>0.28391501004235603</v>
      </c>
      <c r="AG89">
        <v>0</v>
      </c>
      <c r="AH89">
        <v>0</v>
      </c>
      <c r="AI89">
        <v>0</v>
      </c>
      <c r="AJ89">
        <v>0</v>
      </c>
      <c r="AK89">
        <v>0</v>
      </c>
      <c r="AL89">
        <v>0</v>
      </c>
      <c r="AM89">
        <v>0</v>
      </c>
      <c r="AN89">
        <v>0.09270352094923437</v>
      </c>
      <c r="AO89">
        <v>0.46250523862692844</v>
      </c>
      <c r="AP89">
        <v>297.6730433848312</v>
      </c>
      <c r="AQ89">
        <v>8</v>
      </c>
      <c r="AS89">
        <v>10.91841369343036</v>
      </c>
      <c r="AT89">
        <v>20</v>
      </c>
      <c r="AU89">
        <v>8.12816114294459</v>
      </c>
      <c r="AV89">
        <v>8</v>
      </c>
    </row>
    <row r="90" spans="42:47" ht="12.75">
      <c r="AP90" t="s">
        <v>38</v>
      </c>
      <c r="AT90">
        <v>7.5537722016613795</v>
      </c>
      <c r="AU90" s="41">
        <v>15.68193334460597</v>
      </c>
    </row>
    <row r="91" spans="4:46" ht="12.75">
      <c r="D91" t="s">
        <v>106</v>
      </c>
      <c r="E91">
        <v>0</v>
      </c>
      <c r="AO91" t="s">
        <v>106</v>
      </c>
      <c r="AT91" t="s">
        <v>61</v>
      </c>
    </row>
    <row r="94" spans="2:3" ht="12.75">
      <c r="B94" t="s">
        <v>98</v>
      </c>
      <c r="C94" s="1">
        <v>0.06656787240007417</v>
      </c>
    </row>
    <row r="95" spans="2:26" ht="12.75">
      <c r="B95" t="s">
        <v>99</v>
      </c>
      <c r="C95" s="1">
        <v>0.1353392791078949</v>
      </c>
      <c r="Z95" t="s">
        <v>34</v>
      </c>
    </row>
    <row r="96" spans="2:3" ht="12.75">
      <c r="B96" t="s">
        <v>100</v>
      </c>
      <c r="C96" s="1">
        <v>0.059220198375822174</v>
      </c>
    </row>
    <row r="97" spans="2:42" ht="12.75">
      <c r="B97" t="s">
        <v>5</v>
      </c>
      <c r="C97" s="1">
        <v>0.1922620250488546</v>
      </c>
      <c r="G97" t="s">
        <v>107</v>
      </c>
      <c r="Z97" t="s">
        <v>101</v>
      </c>
      <c r="AP97" t="s">
        <v>108</v>
      </c>
    </row>
    <row r="98" spans="23:43" ht="12.75">
      <c r="W98" t="s">
        <v>22</v>
      </c>
      <c r="X98" t="s">
        <v>2</v>
      </c>
      <c r="AP98" t="s">
        <v>22</v>
      </c>
      <c r="AQ98" t="s">
        <v>37</v>
      </c>
    </row>
    <row r="99" spans="7:52" ht="12.75">
      <c r="G99">
        <v>0</v>
      </c>
      <c r="H99">
        <v>0</v>
      </c>
      <c r="I99">
        <v>0</v>
      </c>
      <c r="J99">
        <v>0</v>
      </c>
      <c r="K99">
        <v>0</v>
      </c>
      <c r="L99">
        <v>0</v>
      </c>
      <c r="M99" s="48">
        <v>0.15260106924537684</v>
      </c>
      <c r="N99" s="48">
        <v>0.6191628481225178</v>
      </c>
      <c r="O99">
        <v>0</v>
      </c>
      <c r="P99">
        <v>0</v>
      </c>
      <c r="Q99">
        <v>0</v>
      </c>
      <c r="R99">
        <v>0</v>
      </c>
      <c r="S99">
        <v>0</v>
      </c>
      <c r="T99">
        <v>0</v>
      </c>
      <c r="U99">
        <v>0</v>
      </c>
      <c r="V99" s="48">
        <v>0.2282360826321051</v>
      </c>
      <c r="W99">
        <v>1</v>
      </c>
      <c r="X99" t="s">
        <v>97</v>
      </c>
      <c r="Z99">
        <v>0</v>
      </c>
      <c r="AA99">
        <v>0</v>
      </c>
      <c r="AB99">
        <v>0</v>
      </c>
      <c r="AC99">
        <v>0</v>
      </c>
      <c r="AD99">
        <v>0</v>
      </c>
      <c r="AE99">
        <v>0</v>
      </c>
      <c r="AF99">
        <v>0.15260106924537684</v>
      </c>
      <c r="AG99">
        <v>0.6191628481225178</v>
      </c>
      <c r="AH99">
        <v>0</v>
      </c>
      <c r="AI99">
        <v>0</v>
      </c>
      <c r="AJ99">
        <v>0</v>
      </c>
      <c r="AK99">
        <v>0</v>
      </c>
      <c r="AL99">
        <v>0</v>
      </c>
      <c r="AM99">
        <v>0</v>
      </c>
      <c r="AN99">
        <v>0</v>
      </c>
      <c r="AO99">
        <v>0.2282360826321051</v>
      </c>
      <c r="AP99">
        <v>1</v>
      </c>
      <c r="AX99" s="53" t="s">
        <v>90</v>
      </c>
      <c r="AY99" s="53" t="s">
        <v>91</v>
      </c>
      <c r="AZ99" s="53"/>
    </row>
    <row r="100" spans="2:52" ht="12.75">
      <c r="B100" t="s">
        <v>1</v>
      </c>
      <c r="C100" t="s">
        <v>102</v>
      </c>
      <c r="D100" t="s">
        <v>103</v>
      </c>
      <c r="E100" t="s">
        <v>104</v>
      </c>
      <c r="F100" t="s">
        <v>105</v>
      </c>
      <c r="G100" t="s">
        <v>6</v>
      </c>
      <c r="H100" t="s">
        <v>8</v>
      </c>
      <c r="I100" t="s">
        <v>9</v>
      </c>
      <c r="J100" t="s">
        <v>10</v>
      </c>
      <c r="K100" t="s">
        <v>11</v>
      </c>
      <c r="L100" t="s">
        <v>12</v>
      </c>
      <c r="M100" t="s">
        <v>13</v>
      </c>
      <c r="N100" t="s">
        <v>14</v>
      </c>
      <c r="O100" t="s">
        <v>7</v>
      </c>
      <c r="P100" t="s">
        <v>15</v>
      </c>
      <c r="Q100" t="s">
        <v>16</v>
      </c>
      <c r="R100" t="s">
        <v>17</v>
      </c>
      <c r="S100" t="s">
        <v>18</v>
      </c>
      <c r="T100" t="s">
        <v>19</v>
      </c>
      <c r="U100" t="s">
        <v>20</v>
      </c>
      <c r="V100" t="s">
        <v>21</v>
      </c>
      <c r="Z100" t="s">
        <v>6</v>
      </c>
      <c r="AA100" t="s">
        <v>8</v>
      </c>
      <c r="AB100" t="s">
        <v>9</v>
      </c>
      <c r="AC100" t="s">
        <v>10</v>
      </c>
      <c r="AD100" t="s">
        <v>11</v>
      </c>
      <c r="AE100" t="s">
        <v>12</v>
      </c>
      <c r="AF100" t="s">
        <v>13</v>
      </c>
      <c r="AG100" t="s">
        <v>14</v>
      </c>
      <c r="AH100" t="s">
        <v>7</v>
      </c>
      <c r="AI100" t="s">
        <v>15</v>
      </c>
      <c r="AJ100" t="s">
        <v>16</v>
      </c>
      <c r="AK100" t="s">
        <v>17</v>
      </c>
      <c r="AL100" t="s">
        <v>18</v>
      </c>
      <c r="AM100" t="s">
        <v>19</v>
      </c>
      <c r="AN100" t="s">
        <v>20</v>
      </c>
      <c r="AO100" t="s">
        <v>21</v>
      </c>
      <c r="AR100" t="s">
        <v>65</v>
      </c>
      <c r="AS100" t="s">
        <v>59</v>
      </c>
      <c r="AT100" t="s">
        <v>60</v>
      </c>
      <c r="AU100" t="s">
        <v>62</v>
      </c>
      <c r="AW100" t="s">
        <v>63</v>
      </c>
      <c r="AX100" s="53"/>
      <c r="AY100" s="53"/>
      <c r="AZ100" s="53"/>
    </row>
    <row r="101" spans="2:52" ht="12.75">
      <c r="B101" t="s">
        <v>6</v>
      </c>
      <c r="C101">
        <v>2</v>
      </c>
      <c r="G101">
        <v>0</v>
      </c>
      <c r="H101">
        <v>0</v>
      </c>
      <c r="I101">
        <v>0</v>
      </c>
      <c r="J101">
        <v>0</v>
      </c>
      <c r="K101">
        <v>0</v>
      </c>
      <c r="L101">
        <v>0</v>
      </c>
      <c r="M101">
        <v>0.0010447312797927978</v>
      </c>
      <c r="N101">
        <v>0.00026682946400123777</v>
      </c>
      <c r="O101">
        <v>0</v>
      </c>
      <c r="P101">
        <v>0</v>
      </c>
      <c r="Q101">
        <v>0</v>
      </c>
      <c r="R101">
        <v>0</v>
      </c>
      <c r="S101">
        <v>0</v>
      </c>
      <c r="T101">
        <v>0</v>
      </c>
      <c r="U101">
        <v>0</v>
      </c>
      <c r="V101">
        <v>2.341187572855431E-05</v>
      </c>
      <c r="W101">
        <v>0.0013349726195225897</v>
      </c>
      <c r="X101">
        <v>0.3230633739244667</v>
      </c>
      <c r="Z101">
        <v>0</v>
      </c>
      <c r="AA101">
        <v>0</v>
      </c>
      <c r="AB101">
        <v>0</v>
      </c>
      <c r="AC101">
        <v>0</v>
      </c>
      <c r="AD101">
        <v>0</v>
      </c>
      <c r="AE101">
        <v>0</v>
      </c>
      <c r="AF101">
        <v>7.152397112122882E-06</v>
      </c>
      <c r="AG101">
        <v>1.1499068956588853E-07</v>
      </c>
      <c r="AH101">
        <v>0</v>
      </c>
      <c r="AI101">
        <v>0</v>
      </c>
      <c r="AJ101">
        <v>0</v>
      </c>
      <c r="AK101">
        <v>0</v>
      </c>
      <c r="AL101">
        <v>0</v>
      </c>
      <c r="AM101">
        <v>0</v>
      </c>
      <c r="AN101">
        <v>0</v>
      </c>
      <c r="AO101">
        <v>2.4015305503327498E-09</v>
      </c>
      <c r="AP101">
        <v>7.269789332239103E-06</v>
      </c>
      <c r="AQ101">
        <v>8.70453500721216</v>
      </c>
      <c r="AR101">
        <v>1</v>
      </c>
      <c r="AS101">
        <v>2.8121164478735925</v>
      </c>
      <c r="AT101">
        <v>0.3230633739244667</v>
      </c>
      <c r="AU101">
        <v>2</v>
      </c>
      <c r="AV101">
        <v>0</v>
      </c>
      <c r="AW101">
        <v>0</v>
      </c>
      <c r="AX101" s="53">
        <f>100*(C105+C106+C107+C108+C113+C114+C115+C116)/C117</f>
        <v>91.32231404958678</v>
      </c>
      <c r="AY101" s="53">
        <f>100*(X105+X106+X107+X108+X113+X114+X115+X116)/X117</f>
        <v>93.34321275999254</v>
      </c>
      <c r="AZ101" s="53" t="s">
        <v>93</v>
      </c>
    </row>
    <row r="102" spans="2:52" ht="12.75">
      <c r="B102" t="s">
        <v>8</v>
      </c>
      <c r="C102">
        <v>1</v>
      </c>
      <c r="G102">
        <v>0</v>
      </c>
      <c r="H102">
        <v>0</v>
      </c>
      <c r="I102">
        <v>0</v>
      </c>
      <c r="J102">
        <v>0</v>
      </c>
      <c r="K102">
        <v>0</v>
      </c>
      <c r="L102">
        <v>0</v>
      </c>
      <c r="M102">
        <v>6.576373507588498E-05</v>
      </c>
      <c r="N102">
        <v>0.004238887695334996</v>
      </c>
      <c r="O102">
        <v>0</v>
      </c>
      <c r="P102">
        <v>0</v>
      </c>
      <c r="Q102">
        <v>0</v>
      </c>
      <c r="R102">
        <v>0</v>
      </c>
      <c r="S102">
        <v>0</v>
      </c>
      <c r="T102">
        <v>0</v>
      </c>
      <c r="U102">
        <v>0</v>
      </c>
      <c r="V102">
        <v>0.00037192411386030653</v>
      </c>
      <c r="W102">
        <v>0.004676575544271188</v>
      </c>
      <c r="X102">
        <v>1.1317312817136274</v>
      </c>
      <c r="Z102">
        <v>0</v>
      </c>
      <c r="AA102">
        <v>0</v>
      </c>
      <c r="AB102">
        <v>0</v>
      </c>
      <c r="AC102">
        <v>0</v>
      </c>
      <c r="AD102">
        <v>0</v>
      </c>
      <c r="AE102">
        <v>0</v>
      </c>
      <c r="AF102">
        <v>2.834101276300336E-08</v>
      </c>
      <c r="AG102">
        <v>2.9020101816746857E-05</v>
      </c>
      <c r="AH102">
        <v>0</v>
      </c>
      <c r="AI102">
        <v>0</v>
      </c>
      <c r="AJ102">
        <v>0</v>
      </c>
      <c r="AK102">
        <v>0</v>
      </c>
      <c r="AL102">
        <v>0</v>
      </c>
      <c r="AM102">
        <v>0</v>
      </c>
      <c r="AN102">
        <v>0</v>
      </c>
      <c r="AO102">
        <v>6.0607220766992E-07</v>
      </c>
      <c r="AP102">
        <v>2.9654515037179783E-05</v>
      </c>
      <c r="AQ102">
        <v>0.015333260520677273</v>
      </c>
      <c r="AR102">
        <v>1</v>
      </c>
      <c r="AS102">
        <v>0.017353130581915052</v>
      </c>
      <c r="AT102">
        <v>1.1317312817136274</v>
      </c>
      <c r="AU102">
        <v>1</v>
      </c>
      <c r="AV102">
        <v>0</v>
      </c>
      <c r="AW102">
        <v>0</v>
      </c>
      <c r="AX102" s="53">
        <f>100*(C103+C104+C107+C108+C111+C112+C115+C116)/C117</f>
        <v>83.05785123966942</v>
      </c>
      <c r="AY102" s="53">
        <f>100*(X103+X104+X107+X108+X111+X112+X115+X116)/X117</f>
        <v>86.46607208921047</v>
      </c>
      <c r="AZ102" s="53" t="s">
        <v>94</v>
      </c>
    </row>
    <row r="103" spans="2:52" ht="12.75">
      <c r="B103" t="s">
        <v>9</v>
      </c>
      <c r="C103">
        <v>1</v>
      </c>
      <c r="G103">
        <v>0</v>
      </c>
      <c r="H103">
        <v>0</v>
      </c>
      <c r="I103">
        <v>0</v>
      </c>
      <c r="J103">
        <v>0</v>
      </c>
      <c r="K103">
        <v>0</v>
      </c>
      <c r="L103">
        <v>0</v>
      </c>
      <c r="M103">
        <v>0.00667461883555634</v>
      </c>
      <c r="N103">
        <v>0.0017047302026386036</v>
      </c>
      <c r="O103">
        <v>0</v>
      </c>
      <c r="P103">
        <v>0</v>
      </c>
      <c r="Q103">
        <v>0</v>
      </c>
      <c r="R103">
        <v>0</v>
      </c>
      <c r="S103">
        <v>0</v>
      </c>
      <c r="T103">
        <v>0</v>
      </c>
      <c r="U103">
        <v>0</v>
      </c>
      <c r="V103">
        <v>0.00014957467985882945</v>
      </c>
      <c r="W103">
        <v>0.008528923718053773</v>
      </c>
      <c r="X103">
        <v>2.063999539769013</v>
      </c>
      <c r="Z103">
        <v>0</v>
      </c>
      <c r="AA103">
        <v>0</v>
      </c>
      <c r="AB103">
        <v>0</v>
      </c>
      <c r="AC103">
        <v>0</v>
      </c>
      <c r="AD103">
        <v>0</v>
      </c>
      <c r="AE103">
        <v>0</v>
      </c>
      <c r="AF103">
        <v>0.00029194118245874065</v>
      </c>
      <c r="AG103">
        <v>4.693603746737086E-06</v>
      </c>
      <c r="AH103">
        <v>0</v>
      </c>
      <c r="AI103">
        <v>0</v>
      </c>
      <c r="AJ103">
        <v>0</v>
      </c>
      <c r="AK103">
        <v>0</v>
      </c>
      <c r="AL103">
        <v>0</v>
      </c>
      <c r="AM103">
        <v>0</v>
      </c>
      <c r="AN103">
        <v>0</v>
      </c>
      <c r="AO103">
        <v>9.802387333703848E-08</v>
      </c>
      <c r="AP103">
        <v>0.00029673281007881476</v>
      </c>
      <c r="AQ103">
        <v>0.5484957718330532</v>
      </c>
      <c r="AR103">
        <v>1</v>
      </c>
      <c r="AS103">
        <v>1.1320950206286713</v>
      </c>
      <c r="AT103">
        <v>2.063999539769013</v>
      </c>
      <c r="AU103">
        <v>1</v>
      </c>
      <c r="AV103">
        <v>0</v>
      </c>
      <c r="AW103">
        <v>0</v>
      </c>
      <c r="AX103" s="53">
        <f>100*(C102+C104+C106+C108+C110+C112+C114+C116)/C117</f>
        <v>80.57851239669421</v>
      </c>
      <c r="AY103" s="53">
        <f>100*(X102+X104+X106+X108+X110+X112+X114+X116)/X117</f>
        <v>80.62528635649481</v>
      </c>
      <c r="AZ103" s="53" t="s">
        <v>95</v>
      </c>
    </row>
    <row r="104" spans="2:52" ht="12.75">
      <c r="B104" t="s">
        <v>10</v>
      </c>
      <c r="C104">
        <v>3</v>
      </c>
      <c r="G104">
        <v>0</v>
      </c>
      <c r="H104">
        <v>0</v>
      </c>
      <c r="I104">
        <v>0</v>
      </c>
      <c r="J104">
        <v>0</v>
      </c>
      <c r="K104">
        <v>0</v>
      </c>
      <c r="L104">
        <v>0</v>
      </c>
      <c r="M104">
        <v>0.00042015384561003657</v>
      </c>
      <c r="N104">
        <v>0.02708156652369242</v>
      </c>
      <c r="O104">
        <v>0</v>
      </c>
      <c r="P104">
        <v>0</v>
      </c>
      <c r="Q104">
        <v>0</v>
      </c>
      <c r="R104">
        <v>0</v>
      </c>
      <c r="S104">
        <v>0</v>
      </c>
      <c r="T104">
        <v>0</v>
      </c>
      <c r="U104">
        <v>0</v>
      </c>
      <c r="V104">
        <v>0.0023761628887592505</v>
      </c>
      <c r="W104">
        <v>0.02987788325806171</v>
      </c>
      <c r="X104">
        <v>7.230447748450933</v>
      </c>
      <c r="Z104">
        <v>0</v>
      </c>
      <c r="AA104">
        <v>0</v>
      </c>
      <c r="AB104">
        <v>0</v>
      </c>
      <c r="AC104">
        <v>0</v>
      </c>
      <c r="AD104">
        <v>0</v>
      </c>
      <c r="AE104">
        <v>0</v>
      </c>
      <c r="AF104">
        <v>1.1568022088826257E-06</v>
      </c>
      <c r="AG104">
        <v>0.0011845207566976842</v>
      </c>
      <c r="AH104">
        <v>0</v>
      </c>
      <c r="AI104">
        <v>0</v>
      </c>
      <c r="AJ104">
        <v>0</v>
      </c>
      <c r="AK104">
        <v>0</v>
      </c>
      <c r="AL104">
        <v>0</v>
      </c>
      <c r="AM104">
        <v>0</v>
      </c>
      <c r="AN104">
        <v>0</v>
      </c>
      <c r="AO104">
        <v>2.4738200940022985E-05</v>
      </c>
      <c r="AP104">
        <v>0.0012104157598465898</v>
      </c>
      <c r="AQ104">
        <v>2.4751839408849605</v>
      </c>
      <c r="AR104">
        <v>0</v>
      </c>
      <c r="AS104">
        <v>17.89668815237357</v>
      </c>
      <c r="AT104">
        <v>0</v>
      </c>
      <c r="AU104">
        <v>0</v>
      </c>
      <c r="AV104">
        <v>2.4751839408849605</v>
      </c>
      <c r="AW104">
        <v>1</v>
      </c>
      <c r="AX104" s="53">
        <f>100*(C109+C110+C111+C112+C113+C114+C115+C116)/C117</f>
        <v>35.12396694214876</v>
      </c>
      <c r="AY104" s="53">
        <f>100*(X109+X110+X111+X112+X113+X114+X115+X116)/X117</f>
        <v>33.27358448088271</v>
      </c>
      <c r="AZ104" s="53" t="s">
        <v>96</v>
      </c>
    </row>
    <row r="105" spans="2:49" ht="12.75">
      <c r="B105" t="s">
        <v>11</v>
      </c>
      <c r="C105">
        <v>6</v>
      </c>
      <c r="G105">
        <v>0</v>
      </c>
      <c r="H105">
        <v>0</v>
      </c>
      <c r="I105">
        <v>0</v>
      </c>
      <c r="J105">
        <v>0</v>
      </c>
      <c r="K105">
        <v>0</v>
      </c>
      <c r="L105">
        <v>0</v>
      </c>
      <c r="M105">
        <v>0.014649495411334463</v>
      </c>
      <c r="N105">
        <v>0.0037415525734715484</v>
      </c>
      <c r="O105">
        <v>0</v>
      </c>
      <c r="P105">
        <v>0</v>
      </c>
      <c r="Q105">
        <v>0</v>
      </c>
      <c r="R105">
        <v>0</v>
      </c>
      <c r="S105">
        <v>0</v>
      </c>
      <c r="T105">
        <v>0</v>
      </c>
      <c r="U105">
        <v>0</v>
      </c>
      <c r="V105">
        <v>0.00032828744835151376</v>
      </c>
      <c r="W105">
        <v>0.018719335433157524</v>
      </c>
      <c r="X105">
        <v>4.530079174824121</v>
      </c>
      <c r="Z105">
        <v>0</v>
      </c>
      <c r="AA105">
        <v>0</v>
      </c>
      <c r="AB105">
        <v>0</v>
      </c>
      <c r="AC105">
        <v>0</v>
      </c>
      <c r="AD105">
        <v>0</v>
      </c>
      <c r="AE105">
        <v>0</v>
      </c>
      <c r="AF105">
        <v>0.001406331665092256</v>
      </c>
      <c r="AG105">
        <v>2.260990901263096E-05</v>
      </c>
      <c r="AH105">
        <v>0</v>
      </c>
      <c r="AI105">
        <v>0</v>
      </c>
      <c r="AJ105">
        <v>0</v>
      </c>
      <c r="AK105">
        <v>0</v>
      </c>
      <c r="AL105">
        <v>0</v>
      </c>
      <c r="AM105">
        <v>0</v>
      </c>
      <c r="AN105">
        <v>0</v>
      </c>
      <c r="AO105">
        <v>4.7219811829169486E-07</v>
      </c>
      <c r="AP105">
        <v>0.0014294137722231789</v>
      </c>
      <c r="AQ105">
        <v>0.4769601476931413</v>
      </c>
      <c r="AR105">
        <v>0</v>
      </c>
      <c r="AS105">
        <v>2.1606672322857365</v>
      </c>
      <c r="AT105">
        <v>0</v>
      </c>
      <c r="AU105">
        <v>0</v>
      </c>
      <c r="AV105">
        <v>0.4769601476931413</v>
      </c>
      <c r="AW105">
        <v>1</v>
      </c>
    </row>
    <row r="106" spans="2:49" ht="12.75">
      <c r="B106" t="s">
        <v>12</v>
      </c>
      <c r="C106">
        <v>15</v>
      </c>
      <c r="G106">
        <v>0</v>
      </c>
      <c r="H106">
        <v>0</v>
      </c>
      <c r="I106">
        <v>0</v>
      </c>
      <c r="J106">
        <v>0</v>
      </c>
      <c r="K106">
        <v>0</v>
      </c>
      <c r="L106">
        <v>0</v>
      </c>
      <c r="M106">
        <v>0.0009221563035974812</v>
      </c>
      <c r="N106">
        <v>0.0594387925805074</v>
      </c>
      <c r="O106">
        <v>0</v>
      </c>
      <c r="P106">
        <v>0</v>
      </c>
      <c r="Q106">
        <v>0</v>
      </c>
      <c r="R106">
        <v>0</v>
      </c>
      <c r="S106">
        <v>0</v>
      </c>
      <c r="T106">
        <v>0</v>
      </c>
      <c r="U106">
        <v>0</v>
      </c>
      <c r="V106">
        <v>0.005215217257055615</v>
      </c>
      <c r="W106">
        <v>0.0655761661411605</v>
      </c>
      <c r="X106">
        <v>15.869432206160843</v>
      </c>
      <c r="Z106">
        <v>0</v>
      </c>
      <c r="AA106">
        <v>0</v>
      </c>
      <c r="AB106">
        <v>0</v>
      </c>
      <c r="AC106">
        <v>0</v>
      </c>
      <c r="AD106">
        <v>0</v>
      </c>
      <c r="AE106">
        <v>0</v>
      </c>
      <c r="AF106">
        <v>5.572518282274962E-06</v>
      </c>
      <c r="AG106">
        <v>0.005706043368302178</v>
      </c>
      <c r="AH106">
        <v>0</v>
      </c>
      <c r="AI106">
        <v>0</v>
      </c>
      <c r="AJ106">
        <v>0</v>
      </c>
      <c r="AK106">
        <v>0</v>
      </c>
      <c r="AL106">
        <v>0</v>
      </c>
      <c r="AM106">
        <v>0</v>
      </c>
      <c r="AN106">
        <v>0</v>
      </c>
      <c r="AO106">
        <v>0.00011916823459563173</v>
      </c>
      <c r="AP106">
        <v>0.0058307841211800845</v>
      </c>
      <c r="AQ106">
        <v>0.047633232953114064</v>
      </c>
      <c r="AR106">
        <v>0</v>
      </c>
      <c r="AS106">
        <v>0.7559123611097103</v>
      </c>
      <c r="AT106">
        <v>0</v>
      </c>
      <c r="AU106">
        <v>0</v>
      </c>
      <c r="AV106">
        <v>0.047633232953114064</v>
      </c>
      <c r="AW106">
        <v>1</v>
      </c>
    </row>
    <row r="107" spans="2:49" ht="12.75">
      <c r="B107" t="s">
        <v>13</v>
      </c>
      <c r="C107">
        <v>25</v>
      </c>
      <c r="G107">
        <v>0</v>
      </c>
      <c r="H107">
        <v>0</v>
      </c>
      <c r="I107">
        <v>0</v>
      </c>
      <c r="J107">
        <v>0</v>
      </c>
      <c r="K107">
        <v>0</v>
      </c>
      <c r="L107">
        <v>0</v>
      </c>
      <c r="M107">
        <v>0.09359325205930649</v>
      </c>
      <c r="N107">
        <v>0.023904173029135774</v>
      </c>
      <c r="O107">
        <v>0</v>
      </c>
      <c r="P107">
        <v>0</v>
      </c>
      <c r="Q107">
        <v>0</v>
      </c>
      <c r="R107">
        <v>0</v>
      </c>
      <c r="S107">
        <v>0</v>
      </c>
      <c r="T107">
        <v>0</v>
      </c>
      <c r="U107">
        <v>0</v>
      </c>
      <c r="V107">
        <v>0.002097375304660471</v>
      </c>
      <c r="W107">
        <v>0.11959480039310275</v>
      </c>
      <c r="X107">
        <v>28.941941695130865</v>
      </c>
      <c r="Z107">
        <v>0</v>
      </c>
      <c r="AA107">
        <v>0</v>
      </c>
      <c r="AB107">
        <v>0</v>
      </c>
      <c r="AC107">
        <v>0</v>
      </c>
      <c r="AD107">
        <v>0</v>
      </c>
      <c r="AE107">
        <v>0</v>
      </c>
      <c r="AF107">
        <v>0.057402591438934246</v>
      </c>
      <c r="AG107">
        <v>0.0009228743131787418</v>
      </c>
      <c r="AH107">
        <v>0</v>
      </c>
      <c r="AI107">
        <v>0</v>
      </c>
      <c r="AJ107">
        <v>0</v>
      </c>
      <c r="AK107">
        <v>0</v>
      </c>
      <c r="AL107">
        <v>0</v>
      </c>
      <c r="AM107">
        <v>0</v>
      </c>
      <c r="AN107">
        <v>0</v>
      </c>
      <c r="AO107">
        <v>1.9273828738509976E-05</v>
      </c>
      <c r="AP107">
        <v>0.0583447395808515</v>
      </c>
      <c r="AQ107">
        <v>0.5368991649383853</v>
      </c>
      <c r="AR107">
        <v>0</v>
      </c>
      <c r="AS107">
        <v>15.538904327811196</v>
      </c>
      <c r="AT107">
        <v>0</v>
      </c>
      <c r="AU107">
        <v>0</v>
      </c>
      <c r="AV107">
        <v>0.5368991649383853</v>
      </c>
      <c r="AW107">
        <v>1</v>
      </c>
    </row>
    <row r="108" spans="1:49" ht="12.75">
      <c r="A108" t="s">
        <v>4</v>
      </c>
      <c r="B108" t="s">
        <v>14</v>
      </c>
      <c r="C108">
        <v>104</v>
      </c>
      <c r="G108">
        <v>0</v>
      </c>
      <c r="H108">
        <v>0</v>
      </c>
      <c r="I108">
        <v>0</v>
      </c>
      <c r="J108">
        <v>0</v>
      </c>
      <c r="K108">
        <v>0</v>
      </c>
      <c r="L108">
        <v>0</v>
      </c>
      <c r="M108">
        <v>0.005891507177366694</v>
      </c>
      <c r="N108">
        <v>0.37974481303868407</v>
      </c>
      <c r="O108">
        <v>0</v>
      </c>
      <c r="P108">
        <v>0</v>
      </c>
      <c r="Q108">
        <v>0</v>
      </c>
      <c r="R108">
        <v>0</v>
      </c>
      <c r="S108">
        <v>0</v>
      </c>
      <c r="T108">
        <v>0</v>
      </c>
      <c r="U108">
        <v>0</v>
      </c>
      <c r="V108">
        <v>0.03331917786779169</v>
      </c>
      <c r="W108">
        <v>0.41895549808384247</v>
      </c>
      <c r="X108">
        <v>101.38723053628988</v>
      </c>
      <c r="Z108">
        <v>0</v>
      </c>
      <c r="AA108">
        <v>0</v>
      </c>
      <c r="AB108">
        <v>0</v>
      </c>
      <c r="AC108">
        <v>0</v>
      </c>
      <c r="AD108">
        <v>0</v>
      </c>
      <c r="AE108">
        <v>0</v>
      </c>
      <c r="AF108">
        <v>0.00022745487297438997</v>
      </c>
      <c r="AG108">
        <v>0.23290499981880394</v>
      </c>
      <c r="AH108">
        <v>0</v>
      </c>
      <c r="AI108">
        <v>0</v>
      </c>
      <c r="AJ108">
        <v>0</v>
      </c>
      <c r="AK108">
        <v>0</v>
      </c>
      <c r="AL108">
        <v>0</v>
      </c>
      <c r="AM108">
        <v>0</v>
      </c>
      <c r="AN108">
        <v>0</v>
      </c>
      <c r="AO108">
        <v>0.004864119647439904</v>
      </c>
      <c r="AP108">
        <v>0.23799657433921825</v>
      </c>
      <c r="AQ108">
        <v>0.0673315982139647</v>
      </c>
      <c r="AR108">
        <v>0</v>
      </c>
      <c r="AS108">
        <v>6.826564270496083</v>
      </c>
      <c r="AT108">
        <v>0</v>
      </c>
      <c r="AU108">
        <v>0</v>
      </c>
      <c r="AV108">
        <v>0.0673315982139647</v>
      </c>
      <c r="AW108">
        <v>1</v>
      </c>
    </row>
    <row r="109" spans="2:49" ht="12.75">
      <c r="B109" t="s">
        <v>7</v>
      </c>
      <c r="C109">
        <v>7</v>
      </c>
      <c r="G109">
        <v>0</v>
      </c>
      <c r="H109">
        <v>0</v>
      </c>
      <c r="I109">
        <v>0</v>
      </c>
      <c r="J109">
        <v>0</v>
      </c>
      <c r="K109">
        <v>0</v>
      </c>
      <c r="L109">
        <v>0</v>
      </c>
      <c r="M109">
        <v>0.0002486724132253329</v>
      </c>
      <c r="N109">
        <v>6.351214711018295E-05</v>
      </c>
      <c r="O109">
        <v>0</v>
      </c>
      <c r="P109">
        <v>0</v>
      </c>
      <c r="Q109">
        <v>0</v>
      </c>
      <c r="R109">
        <v>0</v>
      </c>
      <c r="S109">
        <v>0</v>
      </c>
      <c r="T109">
        <v>0</v>
      </c>
      <c r="U109">
        <v>0</v>
      </c>
      <c r="V109">
        <v>9.835879491014957E-05</v>
      </c>
      <c r="W109">
        <v>0.0004105433552456654</v>
      </c>
      <c r="X109">
        <v>0.09935149196945102</v>
      </c>
      <c r="Z109">
        <v>0</v>
      </c>
      <c r="AA109">
        <v>0</v>
      </c>
      <c r="AB109">
        <v>0</v>
      </c>
      <c r="AC109">
        <v>0</v>
      </c>
      <c r="AD109">
        <v>0</v>
      </c>
      <c r="AE109">
        <v>0</v>
      </c>
      <c r="AF109">
        <v>4.052263159432884E-07</v>
      </c>
      <c r="AG109">
        <v>6.514914198707425E-09</v>
      </c>
      <c r="AH109">
        <v>0</v>
      </c>
      <c r="AI109">
        <v>0</v>
      </c>
      <c r="AJ109">
        <v>0</v>
      </c>
      <c r="AK109">
        <v>0</v>
      </c>
      <c r="AL109">
        <v>0</v>
      </c>
      <c r="AM109">
        <v>0</v>
      </c>
      <c r="AN109">
        <v>0</v>
      </c>
      <c r="AO109">
        <v>4.2387918792714136E-08</v>
      </c>
      <c r="AP109">
        <v>4.5412914893470995E-07</v>
      </c>
      <c r="AQ109">
        <v>479.297782926363</v>
      </c>
      <c r="AR109">
        <v>1</v>
      </c>
      <c r="AS109">
        <v>47.618949831384235</v>
      </c>
      <c r="AT109">
        <v>0.09935149196945102</v>
      </c>
      <c r="AU109">
        <v>7</v>
      </c>
      <c r="AV109">
        <v>0</v>
      </c>
      <c r="AW109">
        <v>0</v>
      </c>
    </row>
    <row r="110" spans="2:49" ht="12.75">
      <c r="B110" t="s">
        <v>15</v>
      </c>
      <c r="C110">
        <v>3</v>
      </c>
      <c r="G110">
        <v>0</v>
      </c>
      <c r="H110">
        <v>0</v>
      </c>
      <c r="I110">
        <v>0</v>
      </c>
      <c r="J110">
        <v>0</v>
      </c>
      <c r="K110">
        <v>0</v>
      </c>
      <c r="L110">
        <v>0</v>
      </c>
      <c r="M110">
        <v>1.565342880063399E-05</v>
      </c>
      <c r="N110">
        <v>0.0010089622594617656</v>
      </c>
      <c r="O110">
        <v>0</v>
      </c>
      <c r="P110">
        <v>0</v>
      </c>
      <c r="Q110">
        <v>0</v>
      </c>
      <c r="R110">
        <v>0</v>
      </c>
      <c r="S110">
        <v>0</v>
      </c>
      <c r="T110">
        <v>0</v>
      </c>
      <c r="U110">
        <v>0</v>
      </c>
      <c r="V110">
        <v>0.0015625406550705265</v>
      </c>
      <c r="W110">
        <v>0.002587156343332926</v>
      </c>
      <c r="X110">
        <v>0.6260918350865681</v>
      </c>
      <c r="Z110">
        <v>0</v>
      </c>
      <c r="AA110">
        <v>0</v>
      </c>
      <c r="AB110">
        <v>0</v>
      </c>
      <c r="AC110">
        <v>0</v>
      </c>
      <c r="AD110">
        <v>0</v>
      </c>
      <c r="AE110">
        <v>0</v>
      </c>
      <c r="AF110">
        <v>1.6056888357873748E-09</v>
      </c>
      <c r="AG110">
        <v>1.6441633152006431E-06</v>
      </c>
      <c r="AH110">
        <v>0</v>
      </c>
      <c r="AI110">
        <v>0</v>
      </c>
      <c r="AJ110">
        <v>0</v>
      </c>
      <c r="AK110">
        <v>0</v>
      </c>
      <c r="AL110">
        <v>0</v>
      </c>
      <c r="AM110">
        <v>0</v>
      </c>
      <c r="AN110">
        <v>0</v>
      </c>
      <c r="AO110">
        <v>1.069740275328748E-05</v>
      </c>
      <c r="AP110">
        <v>1.2343171757323911E-05</v>
      </c>
      <c r="AQ110">
        <v>9.000979823772116</v>
      </c>
      <c r="AR110">
        <v>1</v>
      </c>
      <c r="AS110">
        <v>5.635439975442658</v>
      </c>
      <c r="AT110">
        <v>0.6260918350865681</v>
      </c>
      <c r="AU110">
        <v>3</v>
      </c>
      <c r="AV110">
        <v>0</v>
      </c>
      <c r="AW110">
        <v>0</v>
      </c>
    </row>
    <row r="111" spans="2:49" ht="12.75">
      <c r="B111" t="s">
        <v>16</v>
      </c>
      <c r="C111">
        <v>2</v>
      </c>
      <c r="G111">
        <v>0</v>
      </c>
      <c r="H111">
        <v>0</v>
      </c>
      <c r="I111">
        <v>0</v>
      </c>
      <c r="J111">
        <v>0</v>
      </c>
      <c r="K111">
        <v>0</v>
      </c>
      <c r="L111">
        <v>0</v>
      </c>
      <c r="M111">
        <v>0.0015887277477958201</v>
      </c>
      <c r="N111">
        <v>0.00040576881499358237</v>
      </c>
      <c r="O111">
        <v>0</v>
      </c>
      <c r="P111">
        <v>0</v>
      </c>
      <c r="Q111">
        <v>0</v>
      </c>
      <c r="R111">
        <v>0</v>
      </c>
      <c r="S111">
        <v>0</v>
      </c>
      <c r="T111">
        <v>0</v>
      </c>
      <c r="U111">
        <v>0</v>
      </c>
      <c r="V111">
        <v>0.0006283984004768317</v>
      </c>
      <c r="W111">
        <v>0.002622894963266234</v>
      </c>
      <c r="X111">
        <v>0.6347405811104286</v>
      </c>
      <c r="Z111">
        <v>0</v>
      </c>
      <c r="AA111">
        <v>0</v>
      </c>
      <c r="AB111">
        <v>0</v>
      </c>
      <c r="AC111">
        <v>0</v>
      </c>
      <c r="AD111">
        <v>0</v>
      </c>
      <c r="AE111">
        <v>0</v>
      </c>
      <c r="AF111">
        <v>1.6540223925677684E-05</v>
      </c>
      <c r="AG111">
        <v>2.6592088288332837E-07</v>
      </c>
      <c r="AH111">
        <v>0</v>
      </c>
      <c r="AI111">
        <v>0</v>
      </c>
      <c r="AJ111">
        <v>0</v>
      </c>
      <c r="AK111">
        <v>0</v>
      </c>
      <c r="AL111">
        <v>0</v>
      </c>
      <c r="AM111">
        <v>0</v>
      </c>
      <c r="AN111">
        <v>0</v>
      </c>
      <c r="AO111">
        <v>1.7301582868400217E-06</v>
      </c>
      <c r="AP111">
        <v>1.8536303095401032E-05</v>
      </c>
      <c r="AQ111">
        <v>2.936527671833879</v>
      </c>
      <c r="AR111">
        <v>1</v>
      </c>
      <c r="AS111">
        <v>1.8639332808666904</v>
      </c>
      <c r="AT111">
        <v>0.6347405811104286</v>
      </c>
      <c r="AU111">
        <v>2</v>
      </c>
      <c r="AV111">
        <v>0</v>
      </c>
      <c r="AW111">
        <v>0</v>
      </c>
    </row>
    <row r="112" spans="2:49" ht="12.75">
      <c r="B112" t="s">
        <v>17</v>
      </c>
      <c r="C112">
        <v>2</v>
      </c>
      <c r="G112">
        <v>0</v>
      </c>
      <c r="H112">
        <v>0</v>
      </c>
      <c r="I112">
        <v>0</v>
      </c>
      <c r="J112">
        <v>0</v>
      </c>
      <c r="K112">
        <v>0</v>
      </c>
      <c r="L112">
        <v>0</v>
      </c>
      <c r="M112">
        <v>0.00010000721978428122</v>
      </c>
      <c r="N112">
        <v>0.006446096361453472</v>
      </c>
      <c r="O112">
        <v>0</v>
      </c>
      <c r="P112">
        <v>0</v>
      </c>
      <c r="Q112">
        <v>0</v>
      </c>
      <c r="R112">
        <v>0</v>
      </c>
      <c r="S112">
        <v>0</v>
      </c>
      <c r="T112">
        <v>0</v>
      </c>
      <c r="U112">
        <v>0</v>
      </c>
      <c r="V112">
        <v>0.009982819017082308</v>
      </c>
      <c r="W112">
        <v>0.01652892259832006</v>
      </c>
      <c r="X112">
        <v>3.999999268793455</v>
      </c>
      <c r="Z112">
        <v>0</v>
      </c>
      <c r="AA112">
        <v>0</v>
      </c>
      <c r="AB112">
        <v>0</v>
      </c>
      <c r="AC112">
        <v>0</v>
      </c>
      <c r="AD112">
        <v>0</v>
      </c>
      <c r="AE112">
        <v>0</v>
      </c>
      <c r="AF112">
        <v>6.553980295445754E-08</v>
      </c>
      <c r="AG112">
        <v>6.711022540700231E-05</v>
      </c>
      <c r="AH112">
        <v>0</v>
      </c>
      <c r="AI112">
        <v>0</v>
      </c>
      <c r="AJ112">
        <v>0</v>
      </c>
      <c r="AK112">
        <v>0</v>
      </c>
      <c r="AL112">
        <v>0</v>
      </c>
      <c r="AM112">
        <v>0</v>
      </c>
      <c r="AN112">
        <v>0</v>
      </c>
      <c r="AO112">
        <v>0.0004366385646762842</v>
      </c>
      <c r="AP112">
        <v>0.0005038143298862409</v>
      </c>
      <c r="AQ112">
        <v>0.9999994515951246</v>
      </c>
      <c r="AR112">
        <v>1</v>
      </c>
      <c r="AS112">
        <v>3.9999970751743543</v>
      </c>
      <c r="AT112">
        <v>3.999999268793455</v>
      </c>
      <c r="AU112">
        <v>2</v>
      </c>
      <c r="AV112">
        <v>0</v>
      </c>
      <c r="AW112">
        <v>0</v>
      </c>
    </row>
    <row r="113" spans="2:49" ht="12.75">
      <c r="B113" t="s">
        <v>18</v>
      </c>
      <c r="C113">
        <v>2</v>
      </c>
      <c r="G113">
        <v>0</v>
      </c>
      <c r="H113">
        <v>0</v>
      </c>
      <c r="I113">
        <v>0</v>
      </c>
      <c r="J113">
        <v>0</v>
      </c>
      <c r="K113">
        <v>0</v>
      </c>
      <c r="L113">
        <v>0</v>
      </c>
      <c r="M113">
        <v>0.0034869496557932917</v>
      </c>
      <c r="N113">
        <v>0.0008905839479020437</v>
      </c>
      <c r="O113">
        <v>0</v>
      </c>
      <c r="P113">
        <v>0</v>
      </c>
      <c r="Q113">
        <v>0</v>
      </c>
      <c r="R113">
        <v>0</v>
      </c>
      <c r="S113">
        <v>0</v>
      </c>
      <c r="T113">
        <v>0</v>
      </c>
      <c r="U113">
        <v>0</v>
      </c>
      <c r="V113">
        <v>0.0013792127627177005</v>
      </c>
      <c r="W113">
        <v>0.005756746366413035</v>
      </c>
      <c r="X113">
        <v>1.3931326206719545</v>
      </c>
      <c r="Z113">
        <v>0</v>
      </c>
      <c r="AA113">
        <v>0</v>
      </c>
      <c r="AB113">
        <v>0</v>
      </c>
      <c r="AC113">
        <v>0</v>
      </c>
      <c r="AD113">
        <v>0</v>
      </c>
      <c r="AE113">
        <v>0</v>
      </c>
      <c r="AF113">
        <v>7.967714749420285E-05</v>
      </c>
      <c r="AG113">
        <v>1.2809873374441328E-06</v>
      </c>
      <c r="AH113">
        <v>0</v>
      </c>
      <c r="AI113">
        <v>0</v>
      </c>
      <c r="AJ113">
        <v>0</v>
      </c>
      <c r="AK113">
        <v>0</v>
      </c>
      <c r="AL113">
        <v>0</v>
      </c>
      <c r="AM113">
        <v>0</v>
      </c>
      <c r="AN113">
        <v>0</v>
      </c>
      <c r="AO113">
        <v>8.334474649696834E-06</v>
      </c>
      <c r="AP113">
        <v>8.929260948134381E-05</v>
      </c>
      <c r="AQ113">
        <v>0.26435962422217363</v>
      </c>
      <c r="AR113">
        <v>1</v>
      </c>
      <c r="AS113">
        <v>0.36828801609248984</v>
      </c>
      <c r="AT113">
        <v>1.3931326206719545</v>
      </c>
      <c r="AU113">
        <v>2</v>
      </c>
      <c r="AV113">
        <v>0</v>
      </c>
      <c r="AW113">
        <v>0</v>
      </c>
    </row>
    <row r="114" spans="2:49" ht="12.75">
      <c r="B114" t="s">
        <v>19</v>
      </c>
      <c r="C114">
        <v>5</v>
      </c>
      <c r="G114">
        <v>0</v>
      </c>
      <c r="H114">
        <v>0</v>
      </c>
      <c r="I114">
        <v>0</v>
      </c>
      <c r="J114">
        <v>0</v>
      </c>
      <c r="K114">
        <v>0</v>
      </c>
      <c r="L114">
        <v>0</v>
      </c>
      <c r="M114">
        <v>0.0002194964751433675</v>
      </c>
      <c r="N114">
        <v>0.014147932847503398</v>
      </c>
      <c r="O114">
        <v>0</v>
      </c>
      <c r="P114">
        <v>0</v>
      </c>
      <c r="Q114">
        <v>0</v>
      </c>
      <c r="R114">
        <v>0</v>
      </c>
      <c r="S114">
        <v>0</v>
      </c>
      <c r="T114">
        <v>0</v>
      </c>
      <c r="U114">
        <v>0</v>
      </c>
      <c r="V114">
        <v>0.02191035398214467</v>
      </c>
      <c r="W114">
        <v>0.036277783304791436</v>
      </c>
      <c r="X114">
        <v>8.779223559759528</v>
      </c>
      <c r="Z114">
        <v>0</v>
      </c>
      <c r="AA114">
        <v>0</v>
      </c>
      <c r="AB114">
        <v>0</v>
      </c>
      <c r="AC114">
        <v>0</v>
      </c>
      <c r="AD114">
        <v>0</v>
      </c>
      <c r="AE114">
        <v>0</v>
      </c>
      <c r="AF114">
        <v>3.1571667773109366E-07</v>
      </c>
      <c r="AG114">
        <v>0.00032328167696821794</v>
      </c>
      <c r="AH114">
        <v>0</v>
      </c>
      <c r="AI114">
        <v>0</v>
      </c>
      <c r="AJ114">
        <v>0</v>
      </c>
      <c r="AK114">
        <v>0</v>
      </c>
      <c r="AL114">
        <v>0</v>
      </c>
      <c r="AM114">
        <v>0</v>
      </c>
      <c r="AN114">
        <v>0</v>
      </c>
      <c r="AO114">
        <v>0.002103364227455217</v>
      </c>
      <c r="AP114">
        <v>0.0024269616211011658</v>
      </c>
      <c r="AQ114">
        <v>1.6268557939573292</v>
      </c>
      <c r="AR114">
        <v>0</v>
      </c>
      <c r="AS114">
        <v>14.282530714641476</v>
      </c>
      <c r="AT114">
        <v>0</v>
      </c>
      <c r="AU114">
        <v>0</v>
      </c>
      <c r="AV114">
        <v>1.6268557939573292</v>
      </c>
      <c r="AW114">
        <v>1</v>
      </c>
    </row>
    <row r="115" spans="2:49" ht="12.75">
      <c r="B115" t="s">
        <v>20</v>
      </c>
      <c r="C115">
        <v>2</v>
      </c>
      <c r="G115">
        <v>0</v>
      </c>
      <c r="H115">
        <v>0</v>
      </c>
      <c r="I115">
        <v>0</v>
      </c>
      <c r="J115">
        <v>0</v>
      </c>
      <c r="K115">
        <v>0</v>
      </c>
      <c r="L115">
        <v>0</v>
      </c>
      <c r="M115">
        <v>0.022277556249498492</v>
      </c>
      <c r="N115">
        <v>0.005689796513501584</v>
      </c>
      <c r="O115">
        <v>0</v>
      </c>
      <c r="P115">
        <v>0</v>
      </c>
      <c r="Q115">
        <v>0</v>
      </c>
      <c r="R115">
        <v>0</v>
      </c>
      <c r="S115">
        <v>0</v>
      </c>
      <c r="T115">
        <v>0</v>
      </c>
      <c r="U115">
        <v>0</v>
      </c>
      <c r="V115">
        <v>0.008811566823289754</v>
      </c>
      <c r="W115">
        <v>0.03677891958628983</v>
      </c>
      <c r="X115">
        <v>8.900498539882138</v>
      </c>
      <c r="Z115">
        <v>0</v>
      </c>
      <c r="AA115">
        <v>0</v>
      </c>
      <c r="AB115">
        <v>0</v>
      </c>
      <c r="AC115">
        <v>0</v>
      </c>
      <c r="AD115">
        <v>0</v>
      </c>
      <c r="AE115">
        <v>0</v>
      </c>
      <c r="AF115">
        <v>0.0032522020645317654</v>
      </c>
      <c r="AG115">
        <v>5.228638065610934E-05</v>
      </c>
      <c r="AH115">
        <v>0</v>
      </c>
      <c r="AI115">
        <v>0</v>
      </c>
      <c r="AJ115">
        <v>0</v>
      </c>
      <c r="AK115">
        <v>0</v>
      </c>
      <c r="AL115">
        <v>0</v>
      </c>
      <c r="AM115">
        <v>0</v>
      </c>
      <c r="AN115">
        <v>0</v>
      </c>
      <c r="AO115">
        <v>0.00034019033706626914</v>
      </c>
      <c r="AP115">
        <v>0.003644678782254144</v>
      </c>
      <c r="AQ115">
        <v>5.3499115679362905</v>
      </c>
      <c r="AR115">
        <v>0</v>
      </c>
      <c r="AS115">
        <v>47.616880098915516</v>
      </c>
      <c r="AT115">
        <v>0</v>
      </c>
      <c r="AU115">
        <v>0</v>
      </c>
      <c r="AV115">
        <v>5.3499115679362905</v>
      </c>
      <c r="AW115">
        <v>1</v>
      </c>
    </row>
    <row r="116" spans="2:49" ht="12.75">
      <c r="B116" t="s">
        <v>21</v>
      </c>
      <c r="C116">
        <v>62</v>
      </c>
      <c r="G116">
        <v>0</v>
      </c>
      <c r="H116">
        <v>0</v>
      </c>
      <c r="I116">
        <v>0</v>
      </c>
      <c r="J116">
        <v>0</v>
      </c>
      <c r="K116">
        <v>0</v>
      </c>
      <c r="L116">
        <v>0</v>
      </c>
      <c r="M116">
        <v>0.0014023274076954127</v>
      </c>
      <c r="N116">
        <v>0.09038885012312563</v>
      </c>
      <c r="O116">
        <v>0</v>
      </c>
      <c r="P116">
        <v>0</v>
      </c>
      <c r="Q116">
        <v>0</v>
      </c>
      <c r="R116">
        <v>0</v>
      </c>
      <c r="S116">
        <v>0</v>
      </c>
      <c r="T116">
        <v>0</v>
      </c>
      <c r="U116">
        <v>0</v>
      </c>
      <c r="V116">
        <v>0.1399817007603469</v>
      </c>
      <c r="W116">
        <v>0.23177287829116794</v>
      </c>
      <c r="X116">
        <v>56.089036546462644</v>
      </c>
      <c r="Z116">
        <v>0</v>
      </c>
      <c r="AA116">
        <v>0</v>
      </c>
      <c r="AB116">
        <v>0</v>
      </c>
      <c r="AC116">
        <v>0</v>
      </c>
      <c r="AD116">
        <v>0</v>
      </c>
      <c r="AE116">
        <v>0</v>
      </c>
      <c r="AF116">
        <v>1.2886686627415708E-05</v>
      </c>
      <c r="AG116">
        <v>0.013195469094043878</v>
      </c>
      <c r="AH116">
        <v>0</v>
      </c>
      <c r="AI116">
        <v>0</v>
      </c>
      <c r="AJ116">
        <v>0</v>
      </c>
      <c r="AK116">
        <v>0</v>
      </c>
      <c r="AL116">
        <v>0</v>
      </c>
      <c r="AM116">
        <v>0</v>
      </c>
      <c r="AN116">
        <v>0</v>
      </c>
      <c r="AO116">
        <v>0.08585354393478786</v>
      </c>
      <c r="AP116">
        <v>0.09906189971545916</v>
      </c>
      <c r="AQ116">
        <v>0.6229290267824682</v>
      </c>
      <c r="AR116">
        <v>0</v>
      </c>
      <c r="AS116">
        <v>34.939488949054265</v>
      </c>
      <c r="AT116">
        <v>0</v>
      </c>
      <c r="AU116">
        <v>0</v>
      </c>
      <c r="AV116">
        <v>0.6229290267824682</v>
      </c>
      <c r="AW116">
        <v>1</v>
      </c>
    </row>
    <row r="117" spans="3:50" ht="12.75">
      <c r="C117">
        <v>242</v>
      </c>
      <c r="D117">
        <v>0</v>
      </c>
      <c r="E117">
        <v>0</v>
      </c>
      <c r="F117">
        <v>0</v>
      </c>
      <c r="G117">
        <v>0</v>
      </c>
      <c r="H117">
        <v>0</v>
      </c>
      <c r="I117">
        <v>0</v>
      </c>
      <c r="J117">
        <v>0</v>
      </c>
      <c r="K117">
        <v>0</v>
      </c>
      <c r="L117">
        <v>0</v>
      </c>
      <c r="M117">
        <v>0.1526010692453768</v>
      </c>
      <c r="N117">
        <v>0.6191628481225177</v>
      </c>
      <c r="O117">
        <v>0</v>
      </c>
      <c r="P117">
        <v>0</v>
      </c>
      <c r="Q117">
        <v>0</v>
      </c>
      <c r="R117">
        <v>0</v>
      </c>
      <c r="S117">
        <v>0</v>
      </c>
      <c r="T117">
        <v>0</v>
      </c>
      <c r="U117">
        <v>0</v>
      </c>
      <c r="V117">
        <v>0.2282360826321051</v>
      </c>
      <c r="W117">
        <v>1</v>
      </c>
      <c r="X117">
        <v>242</v>
      </c>
      <c r="Z117">
        <v>0</v>
      </c>
      <c r="AA117">
        <v>0</v>
      </c>
      <c r="AB117">
        <v>0</v>
      </c>
      <c r="AC117">
        <v>0</v>
      </c>
      <c r="AD117">
        <v>0</v>
      </c>
      <c r="AE117">
        <v>0</v>
      </c>
      <c r="AF117">
        <v>0.0627043234291402</v>
      </c>
      <c r="AG117">
        <v>0.25441622182577317</v>
      </c>
      <c r="AH117">
        <v>0</v>
      </c>
      <c r="AI117">
        <v>0</v>
      </c>
      <c r="AJ117">
        <v>0</v>
      </c>
      <c r="AK117">
        <v>0</v>
      </c>
      <c r="AL117">
        <v>0</v>
      </c>
      <c r="AM117">
        <v>0</v>
      </c>
      <c r="AN117">
        <v>0</v>
      </c>
      <c r="AO117">
        <v>0.09378302009503817</v>
      </c>
      <c r="AP117">
        <v>0.41090356534995154</v>
      </c>
      <c r="AQ117">
        <v>512.9717180107118</v>
      </c>
      <c r="AR117">
        <v>8</v>
      </c>
      <c r="AT117">
        <v>10.272109993038965</v>
      </c>
      <c r="AU117">
        <v>20</v>
      </c>
      <c r="AV117">
        <v>11.203704473359654</v>
      </c>
      <c r="AW117">
        <v>8</v>
      </c>
      <c r="AX117" t="s">
        <v>64</v>
      </c>
    </row>
    <row r="118" spans="43:48" ht="12.75">
      <c r="AQ118" t="s">
        <v>38</v>
      </c>
      <c r="AU118">
        <v>9.212502986403077</v>
      </c>
      <c r="AV118" s="41">
        <v>20.41620745976273</v>
      </c>
    </row>
    <row r="119" spans="5:47" ht="12.75">
      <c r="E119" t="s">
        <v>106</v>
      </c>
      <c r="F119">
        <v>0</v>
      </c>
      <c r="AP119" t="s">
        <v>106</v>
      </c>
      <c r="AU119" t="s">
        <v>61</v>
      </c>
    </row>
    <row r="121" ht="12.75">
      <c r="A121" t="s">
        <v>75</v>
      </c>
    </row>
    <row r="122" spans="2:3" ht="12.75">
      <c r="B122" t="s">
        <v>98</v>
      </c>
      <c r="C122">
        <v>0.06486024607517502</v>
      </c>
    </row>
    <row r="123" spans="2:26" ht="12.75">
      <c r="B123" t="s">
        <v>99</v>
      </c>
      <c r="C123">
        <v>0.11640572629625771</v>
      </c>
      <c r="Z123" t="s">
        <v>34</v>
      </c>
    </row>
    <row r="124" spans="2:3" ht="12.75">
      <c r="B124" t="s">
        <v>100</v>
      </c>
      <c r="C124">
        <v>0</v>
      </c>
    </row>
    <row r="125" spans="2:42" ht="12.75">
      <c r="B125" t="s">
        <v>5</v>
      </c>
      <c r="C125">
        <v>0.21699075652463098</v>
      </c>
      <c r="G125" t="s">
        <v>107</v>
      </c>
      <c r="Z125" t="s">
        <v>101</v>
      </c>
      <c r="AP125" t="s">
        <v>108</v>
      </c>
    </row>
    <row r="126" spans="23:43" ht="12.75">
      <c r="W126" t="s">
        <v>22</v>
      </c>
      <c r="X126" t="s">
        <v>2</v>
      </c>
      <c r="AP126" t="s">
        <v>22</v>
      </c>
      <c r="AQ126" t="s">
        <v>37</v>
      </c>
    </row>
    <row r="127" spans="7:52" ht="12.75">
      <c r="G127">
        <v>0</v>
      </c>
      <c r="H127">
        <v>0</v>
      </c>
      <c r="I127">
        <v>0</v>
      </c>
      <c r="J127">
        <v>0</v>
      </c>
      <c r="K127" s="48">
        <v>0.04667724128426211</v>
      </c>
      <c r="L127" s="48">
        <v>0.00460877834775713</v>
      </c>
      <c r="M127" s="48">
        <v>0.14375508907048137</v>
      </c>
      <c r="N127" s="48">
        <v>0.6042384376436636</v>
      </c>
      <c r="O127">
        <v>0</v>
      </c>
      <c r="P127">
        <v>0</v>
      </c>
      <c r="Q127">
        <v>0</v>
      </c>
      <c r="R127">
        <v>0</v>
      </c>
      <c r="S127">
        <v>0</v>
      </c>
      <c r="T127">
        <v>0</v>
      </c>
      <c r="U127">
        <v>0</v>
      </c>
      <c r="V127" s="48">
        <v>0.2007204536538357</v>
      </c>
      <c r="W127">
        <v>1</v>
      </c>
      <c r="X127" t="s">
        <v>97</v>
      </c>
      <c r="Z127">
        <v>0</v>
      </c>
      <c r="AA127">
        <v>0</v>
      </c>
      <c r="AB127">
        <v>0</v>
      </c>
      <c r="AC127">
        <v>0</v>
      </c>
      <c r="AD127">
        <v>0.04667724128426211</v>
      </c>
      <c r="AE127">
        <v>0.00460877834775713</v>
      </c>
      <c r="AF127">
        <v>0.14375508907048137</v>
      </c>
      <c r="AG127">
        <v>0.6042384376436636</v>
      </c>
      <c r="AH127">
        <v>0</v>
      </c>
      <c r="AI127">
        <v>0</v>
      </c>
      <c r="AJ127">
        <v>0</v>
      </c>
      <c r="AK127">
        <v>0</v>
      </c>
      <c r="AL127">
        <v>0</v>
      </c>
      <c r="AM127">
        <v>0</v>
      </c>
      <c r="AN127">
        <v>0</v>
      </c>
      <c r="AO127">
        <v>0.2007204536538357</v>
      </c>
      <c r="AP127">
        <v>1</v>
      </c>
      <c r="AX127" s="53" t="s">
        <v>90</v>
      </c>
      <c r="AY127" s="53" t="s">
        <v>91</v>
      </c>
      <c r="AZ127" s="53"/>
    </row>
    <row r="128" spans="2:52" ht="12.75">
      <c r="B128" t="s">
        <v>1</v>
      </c>
      <c r="C128" t="s">
        <v>102</v>
      </c>
      <c r="D128" t="s">
        <v>103</v>
      </c>
      <c r="E128" t="s">
        <v>104</v>
      </c>
      <c r="F128" t="s">
        <v>105</v>
      </c>
      <c r="G128" t="s">
        <v>6</v>
      </c>
      <c r="H128" t="s">
        <v>8</v>
      </c>
      <c r="I128" t="s">
        <v>9</v>
      </c>
      <c r="J128" t="s">
        <v>10</v>
      </c>
      <c r="K128" t="s">
        <v>11</v>
      </c>
      <c r="L128" t="s">
        <v>12</v>
      </c>
      <c r="M128" t="s">
        <v>13</v>
      </c>
      <c r="N128" t="s">
        <v>14</v>
      </c>
      <c r="O128" t="s">
        <v>7</v>
      </c>
      <c r="P128" t="s">
        <v>15</v>
      </c>
      <c r="Q128" t="s">
        <v>16</v>
      </c>
      <c r="R128" t="s">
        <v>17</v>
      </c>
      <c r="S128" t="s">
        <v>18</v>
      </c>
      <c r="T128" t="s">
        <v>19</v>
      </c>
      <c r="U128" t="s">
        <v>20</v>
      </c>
      <c r="V128" t="s">
        <v>21</v>
      </c>
      <c r="Z128" t="s">
        <v>6</v>
      </c>
      <c r="AA128" t="s">
        <v>8</v>
      </c>
      <c r="AB128" t="s">
        <v>9</v>
      </c>
      <c r="AC128" t="s">
        <v>10</v>
      </c>
      <c r="AD128" t="s">
        <v>11</v>
      </c>
      <c r="AE128" t="s">
        <v>12</v>
      </c>
      <c r="AF128" t="s">
        <v>13</v>
      </c>
      <c r="AG128" t="s">
        <v>14</v>
      </c>
      <c r="AH128" t="s">
        <v>7</v>
      </c>
      <c r="AI128" t="s">
        <v>15</v>
      </c>
      <c r="AJ128" t="s">
        <v>16</v>
      </c>
      <c r="AK128" t="s">
        <v>17</v>
      </c>
      <c r="AL128" t="s">
        <v>18</v>
      </c>
      <c r="AM128" t="s">
        <v>19</v>
      </c>
      <c r="AN128" t="s">
        <v>20</v>
      </c>
      <c r="AO128" t="s">
        <v>21</v>
      </c>
      <c r="AR128" t="s">
        <v>65</v>
      </c>
      <c r="AS128" t="s">
        <v>59</v>
      </c>
      <c r="AT128" t="s">
        <v>60</v>
      </c>
      <c r="AU128" t="s">
        <v>62</v>
      </c>
      <c r="AW128" t="s">
        <v>63</v>
      </c>
      <c r="AX128" s="53"/>
      <c r="AY128" s="53"/>
      <c r="AZ128" s="53"/>
    </row>
    <row r="129" spans="2:52" ht="12.75">
      <c r="B129" t="s">
        <v>6</v>
      </c>
      <c r="C129">
        <v>2</v>
      </c>
      <c r="G129">
        <v>0</v>
      </c>
      <c r="H129">
        <v>0</v>
      </c>
      <c r="I129">
        <v>0</v>
      </c>
      <c r="J129">
        <v>0</v>
      </c>
      <c r="K129">
        <v>0.0020946118402625346</v>
      </c>
      <c r="L129">
        <v>0</v>
      </c>
      <c r="M129">
        <v>0.0008498515169890065</v>
      </c>
      <c r="N129">
        <v>0</v>
      </c>
      <c r="O129">
        <v>0</v>
      </c>
      <c r="P129">
        <v>0</v>
      </c>
      <c r="Q129">
        <v>0</v>
      </c>
      <c r="R129">
        <v>0</v>
      </c>
      <c r="S129">
        <v>0</v>
      </c>
      <c r="T129">
        <v>0</v>
      </c>
      <c r="U129">
        <v>0</v>
      </c>
      <c r="V129">
        <v>0</v>
      </c>
      <c r="W129">
        <v>0.0029444633572515413</v>
      </c>
      <c r="X129">
        <v>0.712560132454873</v>
      </c>
      <c r="Z129">
        <v>0</v>
      </c>
      <c r="AA129">
        <v>0</v>
      </c>
      <c r="AB129">
        <v>0</v>
      </c>
      <c r="AC129">
        <v>0</v>
      </c>
      <c r="AD129">
        <v>9.399438871395502E-05</v>
      </c>
      <c r="AE129">
        <v>0</v>
      </c>
      <c r="AF129">
        <v>5.024153270667214E-06</v>
      </c>
      <c r="AG129">
        <v>0</v>
      </c>
      <c r="AH129">
        <v>0</v>
      </c>
      <c r="AI129">
        <v>0</v>
      </c>
      <c r="AJ129">
        <v>0</v>
      </c>
      <c r="AK129">
        <v>0</v>
      </c>
      <c r="AL129">
        <v>0</v>
      </c>
      <c r="AM129">
        <v>0</v>
      </c>
      <c r="AN129">
        <v>0</v>
      </c>
      <c r="AO129">
        <v>0</v>
      </c>
      <c r="AP129">
        <v>9.901854198462224E-05</v>
      </c>
      <c r="AQ129">
        <v>2.3261214556507404</v>
      </c>
      <c r="AR129">
        <v>1</v>
      </c>
      <c r="AS129">
        <v>1.6575014125446137</v>
      </c>
      <c r="AT129">
        <v>0.712560132454873</v>
      </c>
      <c r="AU129">
        <v>2</v>
      </c>
      <c r="AV129">
        <v>0</v>
      </c>
      <c r="AW129">
        <v>0</v>
      </c>
      <c r="AX129" s="53">
        <f>100*(C133+C134+C135+C136+C141+C142+C143+C144)/C145</f>
        <v>91.32231404958678</v>
      </c>
      <c r="AY129" s="53">
        <f>100*(X133+X134+X135+X136+X141+X142+X143+X144)/X145</f>
        <v>93.5139753924825</v>
      </c>
      <c r="AZ129" s="53" t="s">
        <v>93</v>
      </c>
    </row>
    <row r="130" spans="2:52" ht="12.75">
      <c r="B130" t="s">
        <v>8</v>
      </c>
      <c r="C130">
        <v>1</v>
      </c>
      <c r="G130">
        <v>0</v>
      </c>
      <c r="H130">
        <v>0</v>
      </c>
      <c r="I130">
        <v>0</v>
      </c>
      <c r="J130">
        <v>0</v>
      </c>
      <c r="K130">
        <v>0</v>
      </c>
      <c r="L130">
        <v>0.00020681602919863507</v>
      </c>
      <c r="M130">
        <v>0</v>
      </c>
      <c r="N130">
        <v>0.003572137558224221</v>
      </c>
      <c r="O130">
        <v>0</v>
      </c>
      <c r="P130">
        <v>0</v>
      </c>
      <c r="Q130">
        <v>0</v>
      </c>
      <c r="R130">
        <v>0</v>
      </c>
      <c r="S130">
        <v>0</v>
      </c>
      <c r="T130">
        <v>0</v>
      </c>
      <c r="U130">
        <v>0</v>
      </c>
      <c r="V130">
        <v>0.0003288408792537058</v>
      </c>
      <c r="W130">
        <v>0.004107794466676562</v>
      </c>
      <c r="X130">
        <v>0.9940862609357279</v>
      </c>
      <c r="Z130">
        <v>0</v>
      </c>
      <c r="AA130">
        <v>0</v>
      </c>
      <c r="AB130">
        <v>0</v>
      </c>
      <c r="AC130">
        <v>0</v>
      </c>
      <c r="AD130">
        <v>0</v>
      </c>
      <c r="AE130">
        <v>9.280739212443611E-06</v>
      </c>
      <c r="AF130">
        <v>0</v>
      </c>
      <c r="AG130">
        <v>2.1117767324827373E-05</v>
      </c>
      <c r="AH130">
        <v>0</v>
      </c>
      <c r="AI130">
        <v>0</v>
      </c>
      <c r="AJ130">
        <v>0</v>
      </c>
      <c r="AK130">
        <v>0</v>
      </c>
      <c r="AL130">
        <v>0</v>
      </c>
      <c r="AM130">
        <v>0</v>
      </c>
      <c r="AN130">
        <v>0</v>
      </c>
      <c r="AO130">
        <v>5.387409299843613E-07</v>
      </c>
      <c r="AP130">
        <v>3.0937247467255345E-05</v>
      </c>
      <c r="AQ130">
        <v>3.5180357172805253E-05</v>
      </c>
      <c r="AR130">
        <v>1</v>
      </c>
      <c r="AS130">
        <v>3.497230972029739E-05</v>
      </c>
      <c r="AT130">
        <v>0.9940862609357279</v>
      </c>
      <c r="AU130">
        <v>1</v>
      </c>
      <c r="AV130">
        <v>0</v>
      </c>
      <c r="AW130">
        <v>0</v>
      </c>
      <c r="AX130" s="53">
        <f>100*(C131+C132+C135+C136+C139+C140+C143+C144)/C145</f>
        <v>83.05785123966942</v>
      </c>
      <c r="AY130" s="53">
        <f>100*(X131+X132+X135+X136+X139+X140+X143+X144)/X145</f>
        <v>84.42482267999416</v>
      </c>
      <c r="AZ130" s="53" t="s">
        <v>94</v>
      </c>
    </row>
    <row r="131" spans="2:52" ht="12.75">
      <c r="B131" t="s">
        <v>9</v>
      </c>
      <c r="C131">
        <v>1</v>
      </c>
      <c r="G131">
        <v>0</v>
      </c>
      <c r="H131">
        <v>0</v>
      </c>
      <c r="I131">
        <v>0</v>
      </c>
      <c r="J131">
        <v>0</v>
      </c>
      <c r="K131">
        <v>0.0002759465739320223</v>
      </c>
      <c r="L131">
        <v>0</v>
      </c>
      <c r="M131">
        <v>0.006450919192744782</v>
      </c>
      <c r="N131">
        <v>0</v>
      </c>
      <c r="O131">
        <v>0</v>
      </c>
      <c r="P131">
        <v>0</v>
      </c>
      <c r="Q131">
        <v>0</v>
      </c>
      <c r="R131">
        <v>0</v>
      </c>
      <c r="S131">
        <v>0</v>
      </c>
      <c r="T131">
        <v>0</v>
      </c>
      <c r="U131">
        <v>0</v>
      </c>
      <c r="V131">
        <v>0</v>
      </c>
      <c r="W131">
        <v>0.006726865766676805</v>
      </c>
      <c r="X131">
        <v>1.6279015155357868</v>
      </c>
      <c r="Z131">
        <v>0</v>
      </c>
      <c r="AA131">
        <v>0</v>
      </c>
      <c r="AB131">
        <v>0</v>
      </c>
      <c r="AC131">
        <v>0</v>
      </c>
      <c r="AD131">
        <v>1.631341304022072E-06</v>
      </c>
      <c r="AE131">
        <v>0</v>
      </c>
      <c r="AF131">
        <v>0.0002894809408167802</v>
      </c>
      <c r="AG131">
        <v>0</v>
      </c>
      <c r="AH131">
        <v>0</v>
      </c>
      <c r="AI131">
        <v>0</v>
      </c>
      <c r="AJ131">
        <v>0</v>
      </c>
      <c r="AK131">
        <v>0</v>
      </c>
      <c r="AL131">
        <v>0</v>
      </c>
      <c r="AM131">
        <v>0</v>
      </c>
      <c r="AN131">
        <v>0</v>
      </c>
      <c r="AO131">
        <v>0</v>
      </c>
      <c r="AP131">
        <v>0.0002911122821208023</v>
      </c>
      <c r="AQ131">
        <v>0.24218929059868594</v>
      </c>
      <c r="AR131">
        <v>1</v>
      </c>
      <c r="AS131">
        <v>0.3942603132121379</v>
      </c>
      <c r="AT131">
        <v>1.6279015155357868</v>
      </c>
      <c r="AU131">
        <v>1</v>
      </c>
      <c r="AV131">
        <v>0</v>
      </c>
      <c r="AW131">
        <v>0</v>
      </c>
      <c r="AX131" s="53">
        <f>100*(C130+C132+C134+C136+C138+C140+C142+C144)/C145</f>
        <v>80.57851239669421</v>
      </c>
      <c r="AY131" s="53">
        <f>100*(X130+X132+X134+X136+X138+X140+X142+X144)/X145</f>
        <v>80.95676696452566</v>
      </c>
      <c r="AZ131" s="53" t="s">
        <v>95</v>
      </c>
    </row>
    <row r="132" spans="2:52" ht="12.75">
      <c r="B132" t="s">
        <v>10</v>
      </c>
      <c r="C132">
        <v>3</v>
      </c>
      <c r="G132">
        <v>0</v>
      </c>
      <c r="H132">
        <v>0</v>
      </c>
      <c r="I132">
        <v>0</v>
      </c>
      <c r="J132">
        <v>0</v>
      </c>
      <c r="K132">
        <v>0</v>
      </c>
      <c r="L132">
        <v>2.7246181652651867E-05</v>
      </c>
      <c r="M132">
        <v>0</v>
      </c>
      <c r="N132">
        <v>0.027114819792421686</v>
      </c>
      <c r="O132">
        <v>0</v>
      </c>
      <c r="P132">
        <v>0</v>
      </c>
      <c r="Q132">
        <v>0</v>
      </c>
      <c r="R132">
        <v>0</v>
      </c>
      <c r="S132">
        <v>0</v>
      </c>
      <c r="T132">
        <v>0</v>
      </c>
      <c r="U132">
        <v>0</v>
      </c>
      <c r="V132">
        <v>0.0024961136115313203</v>
      </c>
      <c r="W132">
        <v>0.02963817958560566</v>
      </c>
      <c r="X132">
        <v>7.1724394597165695</v>
      </c>
      <c r="Z132">
        <v>0</v>
      </c>
      <c r="AA132">
        <v>0</v>
      </c>
      <c r="AB132">
        <v>0</v>
      </c>
      <c r="AC132">
        <v>0</v>
      </c>
      <c r="AD132">
        <v>0</v>
      </c>
      <c r="AE132">
        <v>1.610740110794374E-07</v>
      </c>
      <c r="AF132">
        <v>0</v>
      </c>
      <c r="AG132">
        <v>0.0012167604815784309</v>
      </c>
      <c r="AH132">
        <v>0</v>
      </c>
      <c r="AI132">
        <v>0</v>
      </c>
      <c r="AJ132">
        <v>0</v>
      </c>
      <c r="AK132">
        <v>0</v>
      </c>
      <c r="AL132">
        <v>0</v>
      </c>
      <c r="AM132">
        <v>0</v>
      </c>
      <c r="AN132">
        <v>0</v>
      </c>
      <c r="AO132">
        <v>3.104109744798231E-05</v>
      </c>
      <c r="AP132">
        <v>0.0012479626530374926</v>
      </c>
      <c r="AQ132">
        <v>2.427242661688197</v>
      </c>
      <c r="AR132">
        <v>0</v>
      </c>
      <c r="AS132">
        <v>17.4092510449999</v>
      </c>
      <c r="AT132">
        <v>0</v>
      </c>
      <c r="AU132">
        <v>0</v>
      </c>
      <c r="AV132">
        <v>2.427242661688197</v>
      </c>
      <c r="AW132">
        <v>1</v>
      </c>
      <c r="AX132" s="53">
        <f>100*(C137+C138+C139+C140+C141+C142+C143+C144)/C145</f>
        <v>35.12396694214876</v>
      </c>
      <c r="AY132" s="53">
        <f>100*(X137+X138+X139+X140+X141+X142+X143+X144)/X145</f>
        <v>33.060224400184076</v>
      </c>
      <c r="AZ132" s="53" t="s">
        <v>96</v>
      </c>
    </row>
    <row r="133" spans="2:49" ht="12.75">
      <c r="B133" t="s">
        <v>11</v>
      </c>
      <c r="C133">
        <v>6</v>
      </c>
      <c r="G133">
        <v>0</v>
      </c>
      <c r="H133">
        <v>0</v>
      </c>
      <c r="I133">
        <v>0</v>
      </c>
      <c r="J133">
        <v>0</v>
      </c>
      <c r="K133">
        <v>0.03019962025122252</v>
      </c>
      <c r="L133">
        <v>0</v>
      </c>
      <c r="M133">
        <v>0.012252959039788755</v>
      </c>
      <c r="N133">
        <v>0</v>
      </c>
      <c r="O133">
        <v>0</v>
      </c>
      <c r="P133">
        <v>0</v>
      </c>
      <c r="Q133">
        <v>0</v>
      </c>
      <c r="R133">
        <v>0</v>
      </c>
      <c r="S133">
        <v>0</v>
      </c>
      <c r="T133">
        <v>0</v>
      </c>
      <c r="U133">
        <v>0</v>
      </c>
      <c r="V133">
        <v>0</v>
      </c>
      <c r="W133">
        <v>0.042452579291011275</v>
      </c>
      <c r="X133">
        <v>10.273524188424728</v>
      </c>
      <c r="Z133">
        <v>0</v>
      </c>
      <c r="AA133">
        <v>0</v>
      </c>
      <c r="AB133">
        <v>0</v>
      </c>
      <c r="AC133">
        <v>0</v>
      </c>
      <c r="AD133">
        <v>0.019538795314913964</v>
      </c>
      <c r="AE133">
        <v>0</v>
      </c>
      <c r="AF133">
        <v>0.00104438045429565</v>
      </c>
      <c r="AG133">
        <v>0</v>
      </c>
      <c r="AH133">
        <v>0</v>
      </c>
      <c r="AI133">
        <v>0</v>
      </c>
      <c r="AJ133">
        <v>0</v>
      </c>
      <c r="AK133">
        <v>0</v>
      </c>
      <c r="AL133">
        <v>0</v>
      </c>
      <c r="AM133">
        <v>0</v>
      </c>
      <c r="AN133">
        <v>0</v>
      </c>
      <c r="AO133">
        <v>0</v>
      </c>
      <c r="AP133">
        <v>0.020583175769209615</v>
      </c>
      <c r="AQ133">
        <v>1.777677129492558</v>
      </c>
      <c r="AR133">
        <v>0</v>
      </c>
      <c r="AS133">
        <v>18.263008989051233</v>
      </c>
      <c r="AT133">
        <v>0</v>
      </c>
      <c r="AU133">
        <v>0</v>
      </c>
      <c r="AV133">
        <v>1.777677129492558</v>
      </c>
      <c r="AW133">
        <v>1</v>
      </c>
    </row>
    <row r="134" spans="2:49" ht="12.75">
      <c r="B134" t="s">
        <v>12</v>
      </c>
      <c r="C134">
        <v>15</v>
      </c>
      <c r="G134">
        <v>0</v>
      </c>
      <c r="H134">
        <v>0</v>
      </c>
      <c r="I134">
        <v>0</v>
      </c>
      <c r="J134">
        <v>0</v>
      </c>
      <c r="K134">
        <v>0</v>
      </c>
      <c r="L134">
        <v>0.0029818248057271054</v>
      </c>
      <c r="M134">
        <v>0</v>
      </c>
      <c r="N134">
        <v>0.05150223810917618</v>
      </c>
      <c r="O134">
        <v>0</v>
      </c>
      <c r="P134">
        <v>0</v>
      </c>
      <c r="Q134">
        <v>0</v>
      </c>
      <c r="R134">
        <v>0</v>
      </c>
      <c r="S134">
        <v>0</v>
      </c>
      <c r="T134">
        <v>0</v>
      </c>
      <c r="U134">
        <v>0</v>
      </c>
      <c r="V134">
        <v>0.004741150358099436</v>
      </c>
      <c r="W134">
        <v>0.05922521327300272</v>
      </c>
      <c r="X134">
        <v>14.33250161206666</v>
      </c>
      <c r="Z134">
        <v>0</v>
      </c>
      <c r="AA134">
        <v>0</v>
      </c>
      <c r="AB134">
        <v>0</v>
      </c>
      <c r="AC134">
        <v>0</v>
      </c>
      <c r="AD134">
        <v>0</v>
      </c>
      <c r="AE134">
        <v>0.001929205203885851</v>
      </c>
      <c r="AF134">
        <v>0</v>
      </c>
      <c r="AG134">
        <v>0.004389791123845255</v>
      </c>
      <c r="AH134">
        <v>0</v>
      </c>
      <c r="AI134">
        <v>0</v>
      </c>
      <c r="AJ134">
        <v>0</v>
      </c>
      <c r="AK134">
        <v>0</v>
      </c>
      <c r="AL134">
        <v>0</v>
      </c>
      <c r="AM134">
        <v>0</v>
      </c>
      <c r="AN134">
        <v>0</v>
      </c>
      <c r="AO134">
        <v>0.00011198911874159594</v>
      </c>
      <c r="AP134">
        <v>0.006430985446472702</v>
      </c>
      <c r="AQ134">
        <v>0.031086973506320257</v>
      </c>
      <c r="AR134">
        <v>0</v>
      </c>
      <c r="AS134">
        <v>0.4455540978936086</v>
      </c>
      <c r="AT134">
        <v>0</v>
      </c>
      <c r="AU134">
        <v>0</v>
      </c>
      <c r="AV134">
        <v>0.031086973506320257</v>
      </c>
      <c r="AW134">
        <v>1</v>
      </c>
    </row>
    <row r="135" spans="2:49" ht="12.75">
      <c r="B135" t="s">
        <v>13</v>
      </c>
      <c r="C135">
        <v>25</v>
      </c>
      <c r="G135">
        <v>0</v>
      </c>
      <c r="H135">
        <v>0</v>
      </c>
      <c r="I135">
        <v>0</v>
      </c>
      <c r="J135">
        <v>0</v>
      </c>
      <c r="K135">
        <v>0.0039785327200902625</v>
      </c>
      <c r="L135">
        <v>0</v>
      </c>
      <c r="M135">
        <v>0.09300783378928937</v>
      </c>
      <c r="N135">
        <v>0</v>
      </c>
      <c r="O135">
        <v>0</v>
      </c>
      <c r="P135">
        <v>0</v>
      </c>
      <c r="Q135">
        <v>0</v>
      </c>
      <c r="R135">
        <v>0</v>
      </c>
      <c r="S135">
        <v>0</v>
      </c>
      <c r="T135">
        <v>0</v>
      </c>
      <c r="U135">
        <v>0</v>
      </c>
      <c r="V135">
        <v>0</v>
      </c>
      <c r="W135">
        <v>0.09698636650937963</v>
      </c>
      <c r="X135">
        <v>23.47070069526987</v>
      </c>
      <c r="Z135">
        <v>0</v>
      </c>
      <c r="AA135">
        <v>0</v>
      </c>
      <c r="AB135">
        <v>0</v>
      </c>
      <c r="AC135">
        <v>0</v>
      </c>
      <c r="AD135">
        <v>0.0003391100709751178</v>
      </c>
      <c r="AE135">
        <v>0</v>
      </c>
      <c r="AF135">
        <v>0.06017496286294855</v>
      </c>
      <c r="AG135">
        <v>0</v>
      </c>
      <c r="AH135">
        <v>0</v>
      </c>
      <c r="AI135">
        <v>0</v>
      </c>
      <c r="AJ135">
        <v>0</v>
      </c>
      <c r="AK135">
        <v>0</v>
      </c>
      <c r="AL135">
        <v>0</v>
      </c>
      <c r="AM135">
        <v>0</v>
      </c>
      <c r="AN135">
        <v>0</v>
      </c>
      <c r="AO135">
        <v>0</v>
      </c>
      <c r="AP135">
        <v>0.06051407293392367</v>
      </c>
      <c r="AQ135">
        <v>0.09964578364374946</v>
      </c>
      <c r="AR135">
        <v>0</v>
      </c>
      <c r="AS135">
        <v>2.3387563634480615</v>
      </c>
      <c r="AT135">
        <v>0</v>
      </c>
      <c r="AU135">
        <v>0</v>
      </c>
      <c r="AV135">
        <v>0.09964578364374946</v>
      </c>
      <c r="AW135">
        <v>1</v>
      </c>
    </row>
    <row r="136" spans="1:49" ht="12.75">
      <c r="A136" t="s">
        <v>4</v>
      </c>
      <c r="B136" t="s">
        <v>14</v>
      </c>
      <c r="C136">
        <v>104</v>
      </c>
      <c r="G136">
        <v>0</v>
      </c>
      <c r="H136">
        <v>0</v>
      </c>
      <c r="I136">
        <v>0</v>
      </c>
      <c r="J136">
        <v>0</v>
      </c>
      <c r="K136">
        <v>0</v>
      </c>
      <c r="L136">
        <v>0.0003928290308445796</v>
      </c>
      <c r="M136">
        <v>0</v>
      </c>
      <c r="N136">
        <v>0.3909350864782819</v>
      </c>
      <c r="O136">
        <v>0</v>
      </c>
      <c r="P136">
        <v>0</v>
      </c>
      <c r="Q136">
        <v>0</v>
      </c>
      <c r="R136">
        <v>0</v>
      </c>
      <c r="S136">
        <v>0</v>
      </c>
      <c r="T136">
        <v>0</v>
      </c>
      <c r="U136">
        <v>0</v>
      </c>
      <c r="V136">
        <v>0.03598837823942848</v>
      </c>
      <c r="W136">
        <v>0.42731629374855495</v>
      </c>
      <c r="X136">
        <v>103.4105430871503</v>
      </c>
      <c r="Z136">
        <v>0</v>
      </c>
      <c r="AA136">
        <v>0</v>
      </c>
      <c r="AB136">
        <v>0</v>
      </c>
      <c r="AC136">
        <v>0</v>
      </c>
      <c r="AD136">
        <v>0</v>
      </c>
      <c r="AE136">
        <v>3.348276611076103E-05</v>
      </c>
      <c r="AF136">
        <v>0</v>
      </c>
      <c r="AG136">
        <v>0.252930353844702</v>
      </c>
      <c r="AH136">
        <v>0</v>
      </c>
      <c r="AI136">
        <v>0</v>
      </c>
      <c r="AJ136">
        <v>0</v>
      </c>
      <c r="AK136">
        <v>0</v>
      </c>
      <c r="AL136">
        <v>0</v>
      </c>
      <c r="AM136">
        <v>0</v>
      </c>
      <c r="AN136">
        <v>0</v>
      </c>
      <c r="AO136">
        <v>0.006452572942754602</v>
      </c>
      <c r="AP136">
        <v>0.2594164095535674</v>
      </c>
      <c r="AQ136">
        <v>0.003360000264319971</v>
      </c>
      <c r="AR136">
        <v>0</v>
      </c>
      <c r="AS136">
        <v>0.34745945210629675</v>
      </c>
      <c r="AT136">
        <v>0</v>
      </c>
      <c r="AU136">
        <v>0</v>
      </c>
      <c r="AV136">
        <v>0.003360000264319971</v>
      </c>
      <c r="AW136">
        <v>1</v>
      </c>
    </row>
    <row r="137" spans="2:49" ht="12.75">
      <c r="B137" t="s">
        <v>7</v>
      </c>
      <c r="C137">
        <v>7</v>
      </c>
      <c r="G137">
        <v>0</v>
      </c>
      <c r="H137">
        <v>0</v>
      </c>
      <c r="I137">
        <v>0</v>
      </c>
      <c r="J137">
        <v>0</v>
      </c>
      <c r="K137">
        <v>0.0005804674869822457</v>
      </c>
      <c r="L137">
        <v>0</v>
      </c>
      <c r="M137">
        <v>0.00023551436351702628</v>
      </c>
      <c r="N137">
        <v>0</v>
      </c>
      <c r="O137">
        <v>0</v>
      </c>
      <c r="P137">
        <v>0</v>
      </c>
      <c r="Q137">
        <v>0</v>
      </c>
      <c r="R137">
        <v>0</v>
      </c>
      <c r="S137">
        <v>0</v>
      </c>
      <c r="T137">
        <v>0</v>
      </c>
      <c r="U137">
        <v>0</v>
      </c>
      <c r="V137">
        <v>0</v>
      </c>
      <c r="W137">
        <v>0.000815981850499272</v>
      </c>
      <c r="X137">
        <v>0.19746760782082384</v>
      </c>
      <c r="Z137">
        <v>0</v>
      </c>
      <c r="AA137">
        <v>0</v>
      </c>
      <c r="AB137">
        <v>0</v>
      </c>
      <c r="AC137">
        <v>0</v>
      </c>
      <c r="AD137">
        <v>7.218560784077198E-06</v>
      </c>
      <c r="AE137">
        <v>0</v>
      </c>
      <c r="AF137">
        <v>3.858438388614903E-07</v>
      </c>
      <c r="AG137">
        <v>0</v>
      </c>
      <c r="AH137">
        <v>0</v>
      </c>
      <c r="AI137">
        <v>0</v>
      </c>
      <c r="AJ137">
        <v>0</v>
      </c>
      <c r="AK137">
        <v>0</v>
      </c>
      <c r="AL137">
        <v>0</v>
      </c>
      <c r="AM137">
        <v>0</v>
      </c>
      <c r="AN137">
        <v>0</v>
      </c>
      <c r="AO137">
        <v>0</v>
      </c>
      <c r="AP137">
        <v>7.6044046229386874E-06</v>
      </c>
      <c r="AQ137">
        <v>234.33943145062548</v>
      </c>
      <c r="AR137">
        <v>1</v>
      </c>
      <c r="AS137">
        <v>46.27444694664695</v>
      </c>
      <c r="AT137">
        <v>0.19746760782082384</v>
      </c>
      <c r="AU137">
        <v>7</v>
      </c>
      <c r="AV137">
        <v>0</v>
      </c>
      <c r="AW137">
        <v>0</v>
      </c>
    </row>
    <row r="138" spans="2:49" ht="12.75">
      <c r="B138" t="s">
        <v>15</v>
      </c>
      <c r="C138">
        <v>3</v>
      </c>
      <c r="G138">
        <v>0</v>
      </c>
      <c r="H138">
        <v>0</v>
      </c>
      <c r="I138">
        <v>0</v>
      </c>
      <c r="J138">
        <v>0</v>
      </c>
      <c r="K138">
        <v>0</v>
      </c>
      <c r="L138">
        <v>5.7313712464038976E-05</v>
      </c>
      <c r="M138">
        <v>0</v>
      </c>
      <c r="N138">
        <v>0.0009899255182847719</v>
      </c>
      <c r="O138">
        <v>0</v>
      </c>
      <c r="P138">
        <v>0</v>
      </c>
      <c r="Q138">
        <v>0</v>
      </c>
      <c r="R138">
        <v>0</v>
      </c>
      <c r="S138">
        <v>0</v>
      </c>
      <c r="T138">
        <v>0</v>
      </c>
      <c r="U138">
        <v>0</v>
      </c>
      <c r="V138">
        <v>0.0011866194312244436</v>
      </c>
      <c r="W138">
        <v>0.0022338586619732544</v>
      </c>
      <c r="X138">
        <v>0.5405937961975276</v>
      </c>
      <c r="Z138">
        <v>0</v>
      </c>
      <c r="AA138">
        <v>0</v>
      </c>
      <c r="AB138">
        <v>0</v>
      </c>
      <c r="AC138">
        <v>0</v>
      </c>
      <c r="AD138">
        <v>0</v>
      </c>
      <c r="AE138">
        <v>7.127402076103574E-07</v>
      </c>
      <c r="AF138">
        <v>0</v>
      </c>
      <c r="AG138">
        <v>1.6217977386094058E-06</v>
      </c>
      <c r="AH138">
        <v>0</v>
      </c>
      <c r="AI138">
        <v>0</v>
      </c>
      <c r="AJ138">
        <v>0</v>
      </c>
      <c r="AK138">
        <v>0</v>
      </c>
      <c r="AL138">
        <v>0</v>
      </c>
      <c r="AM138">
        <v>0</v>
      </c>
      <c r="AN138">
        <v>0</v>
      </c>
      <c r="AO138">
        <v>7.015058251052904E-06</v>
      </c>
      <c r="AP138">
        <v>9.349596197272667E-06</v>
      </c>
      <c r="AQ138">
        <v>11.18895355042506</v>
      </c>
      <c r="AR138">
        <v>1</v>
      </c>
      <c r="AS138">
        <v>6.0486788753020875</v>
      </c>
      <c r="AT138">
        <v>0.5405937961975276</v>
      </c>
      <c r="AU138">
        <v>3</v>
      </c>
      <c r="AV138">
        <v>0</v>
      </c>
      <c r="AW138">
        <v>0</v>
      </c>
    </row>
    <row r="139" spans="2:49" ht="12.75">
      <c r="B139" t="s">
        <v>16</v>
      </c>
      <c r="C139">
        <v>2</v>
      </c>
      <c r="G139">
        <v>0</v>
      </c>
      <c r="H139">
        <v>0</v>
      </c>
      <c r="I139">
        <v>0</v>
      </c>
      <c r="J139">
        <v>0</v>
      </c>
      <c r="K139">
        <v>7.647145463075635E-05</v>
      </c>
      <c r="L139">
        <v>0</v>
      </c>
      <c r="M139">
        <v>0.0017877053784193097</v>
      </c>
      <c r="N139">
        <v>0</v>
      </c>
      <c r="O139">
        <v>0</v>
      </c>
      <c r="P139">
        <v>0</v>
      </c>
      <c r="Q139">
        <v>0</v>
      </c>
      <c r="R139">
        <v>0</v>
      </c>
      <c r="S139">
        <v>0</v>
      </c>
      <c r="T139">
        <v>0</v>
      </c>
      <c r="U139">
        <v>0</v>
      </c>
      <c r="V139">
        <v>0</v>
      </c>
      <c r="W139">
        <v>0.001864176833050066</v>
      </c>
      <c r="X139">
        <v>0.451130793598116</v>
      </c>
      <c r="Z139">
        <v>0</v>
      </c>
      <c r="AA139">
        <v>0</v>
      </c>
      <c r="AB139">
        <v>0</v>
      </c>
      <c r="AC139">
        <v>0</v>
      </c>
      <c r="AD139">
        <v>1.25283397485522E-07</v>
      </c>
      <c r="AE139">
        <v>0</v>
      </c>
      <c r="AF139">
        <v>2.2231494833984075E-05</v>
      </c>
      <c r="AG139">
        <v>0</v>
      </c>
      <c r="AH139">
        <v>0</v>
      </c>
      <c r="AI139">
        <v>0</v>
      </c>
      <c r="AJ139">
        <v>0</v>
      </c>
      <c r="AK139">
        <v>0</v>
      </c>
      <c r="AL139">
        <v>0</v>
      </c>
      <c r="AM139">
        <v>0</v>
      </c>
      <c r="AN139">
        <v>0</v>
      </c>
      <c r="AO139">
        <v>0</v>
      </c>
      <c r="AP139">
        <v>2.2356778231469597E-05</v>
      </c>
      <c r="AQ139">
        <v>5.317739007364495</v>
      </c>
      <c r="AR139">
        <v>1</v>
      </c>
      <c r="AS139">
        <v>2.398995818540002</v>
      </c>
      <c r="AT139">
        <v>0.451130793598116</v>
      </c>
      <c r="AU139">
        <v>2</v>
      </c>
      <c r="AV139">
        <v>0</v>
      </c>
      <c r="AW139">
        <v>0</v>
      </c>
    </row>
    <row r="140" spans="2:49" ht="12.75">
      <c r="B140" t="s">
        <v>17</v>
      </c>
      <c r="C140">
        <v>2</v>
      </c>
      <c r="G140">
        <v>0</v>
      </c>
      <c r="H140">
        <v>0</v>
      </c>
      <c r="I140">
        <v>0</v>
      </c>
      <c r="J140">
        <v>0</v>
      </c>
      <c r="K140">
        <v>0</v>
      </c>
      <c r="L140">
        <v>7.550574426140126E-06</v>
      </c>
      <c r="M140">
        <v>0</v>
      </c>
      <c r="N140">
        <v>0.007514170884716638</v>
      </c>
      <c r="O140">
        <v>0</v>
      </c>
      <c r="P140">
        <v>0</v>
      </c>
      <c r="Q140">
        <v>0</v>
      </c>
      <c r="R140">
        <v>0</v>
      </c>
      <c r="S140">
        <v>0</v>
      </c>
      <c r="T140">
        <v>0</v>
      </c>
      <c r="U140">
        <v>0</v>
      </c>
      <c r="V140">
        <v>0.009007204094299077</v>
      </c>
      <c r="W140">
        <v>0.016528925553441855</v>
      </c>
      <c r="X140">
        <v>3.9999999839329288</v>
      </c>
      <c r="Z140">
        <v>0</v>
      </c>
      <c r="AA140">
        <v>0</v>
      </c>
      <c r="AB140">
        <v>0</v>
      </c>
      <c r="AC140">
        <v>0</v>
      </c>
      <c r="AD140">
        <v>0</v>
      </c>
      <c r="AE140">
        <v>1.2370127149296705E-08</v>
      </c>
      <c r="AF140">
        <v>0</v>
      </c>
      <c r="AG140">
        <v>9.344450893410543E-05</v>
      </c>
      <c r="AH140">
        <v>0</v>
      </c>
      <c r="AI140">
        <v>0</v>
      </c>
      <c r="AJ140">
        <v>0</v>
      </c>
      <c r="AK140">
        <v>0</v>
      </c>
      <c r="AL140">
        <v>0</v>
      </c>
      <c r="AM140">
        <v>0</v>
      </c>
      <c r="AN140">
        <v>0</v>
      </c>
      <c r="AO140">
        <v>0.00040419261774026833</v>
      </c>
      <c r="AP140">
        <v>0.0004976494968015231</v>
      </c>
      <c r="AQ140">
        <v>0.9999999879496967</v>
      </c>
      <c r="AR140">
        <v>1</v>
      </c>
      <c r="AS140">
        <v>3.9999999357317155</v>
      </c>
      <c r="AT140">
        <v>3.9999999839329288</v>
      </c>
      <c r="AU140">
        <v>2</v>
      </c>
      <c r="AV140">
        <v>0</v>
      </c>
      <c r="AW140">
        <v>0</v>
      </c>
    </row>
    <row r="141" spans="2:49" ht="12.75">
      <c r="B141" t="s">
        <v>18</v>
      </c>
      <c r="C141">
        <v>2</v>
      </c>
      <c r="G141">
        <v>0</v>
      </c>
      <c r="H141">
        <v>0</v>
      </c>
      <c r="I141">
        <v>0</v>
      </c>
      <c r="J141">
        <v>0</v>
      </c>
      <c r="K141">
        <v>0.008369043532594616</v>
      </c>
      <c r="L141">
        <v>0</v>
      </c>
      <c r="M141">
        <v>0.0033955906317378166</v>
      </c>
      <c r="N141">
        <v>0</v>
      </c>
      <c r="O141">
        <v>0</v>
      </c>
      <c r="P141">
        <v>0</v>
      </c>
      <c r="Q141">
        <v>0</v>
      </c>
      <c r="R141">
        <v>0</v>
      </c>
      <c r="S141">
        <v>0</v>
      </c>
      <c r="T141">
        <v>0</v>
      </c>
      <c r="U141">
        <v>0</v>
      </c>
      <c r="V141">
        <v>0</v>
      </c>
      <c r="W141">
        <v>0.011764634164332433</v>
      </c>
      <c r="X141">
        <v>2.847041467768449</v>
      </c>
      <c r="Z141">
        <v>0</v>
      </c>
      <c r="AA141">
        <v>0</v>
      </c>
      <c r="AB141">
        <v>0</v>
      </c>
      <c r="AC141">
        <v>0</v>
      </c>
      <c r="AD141">
        <v>0.0015005361868735598</v>
      </c>
      <c r="AE141">
        <v>0</v>
      </c>
      <c r="AF141">
        <v>8.020610479182818E-05</v>
      </c>
      <c r="AG141">
        <v>0</v>
      </c>
      <c r="AH141">
        <v>0</v>
      </c>
      <c r="AI141">
        <v>0</v>
      </c>
      <c r="AJ141">
        <v>0</v>
      </c>
      <c r="AK141">
        <v>0</v>
      </c>
      <c r="AL141">
        <v>0</v>
      </c>
      <c r="AM141">
        <v>0</v>
      </c>
      <c r="AN141">
        <v>0</v>
      </c>
      <c r="AO141">
        <v>0</v>
      </c>
      <c r="AP141">
        <v>0.001580742291665388</v>
      </c>
      <c r="AQ141">
        <v>0.2520087101793071</v>
      </c>
      <c r="AR141">
        <v>1</v>
      </c>
      <c r="AS141">
        <v>0.7174792481193281</v>
      </c>
      <c r="AT141">
        <v>2.847041467768449</v>
      </c>
      <c r="AU141">
        <v>2</v>
      </c>
      <c r="AV141">
        <v>0</v>
      </c>
      <c r="AW141">
        <v>0</v>
      </c>
    </row>
    <row r="142" spans="2:49" ht="12.75">
      <c r="B142" t="s">
        <v>19</v>
      </c>
      <c r="C142">
        <v>5</v>
      </c>
      <c r="G142">
        <v>0</v>
      </c>
      <c r="H142">
        <v>0</v>
      </c>
      <c r="I142">
        <v>0</v>
      </c>
      <c r="J142">
        <v>0</v>
      </c>
      <c r="K142">
        <v>0</v>
      </c>
      <c r="L142">
        <v>0.0008263356094582156</v>
      </c>
      <c r="M142">
        <v>0</v>
      </c>
      <c r="N142">
        <v>0.01427251300434152</v>
      </c>
      <c r="O142">
        <v>0</v>
      </c>
      <c r="P142">
        <v>0</v>
      </c>
      <c r="Q142">
        <v>0</v>
      </c>
      <c r="R142">
        <v>0</v>
      </c>
      <c r="S142">
        <v>0</v>
      </c>
      <c r="T142">
        <v>0</v>
      </c>
      <c r="U142">
        <v>0</v>
      </c>
      <c r="V142">
        <v>0.017108399521511497</v>
      </c>
      <c r="W142">
        <v>0.032207248135311235</v>
      </c>
      <c r="X142">
        <v>7.794154048745319</v>
      </c>
      <c r="Z142">
        <v>0</v>
      </c>
      <c r="AA142">
        <v>0</v>
      </c>
      <c r="AB142">
        <v>0</v>
      </c>
      <c r="AC142">
        <v>0</v>
      </c>
      <c r="AD142">
        <v>0</v>
      </c>
      <c r="AE142">
        <v>0.00014815868499967706</v>
      </c>
      <c r="AF142">
        <v>0</v>
      </c>
      <c r="AG142">
        <v>0.00033712623158083186</v>
      </c>
      <c r="AH142">
        <v>0</v>
      </c>
      <c r="AI142">
        <v>0</v>
      </c>
      <c r="AJ142">
        <v>0</v>
      </c>
      <c r="AK142">
        <v>0</v>
      </c>
      <c r="AL142">
        <v>0</v>
      </c>
      <c r="AM142">
        <v>0</v>
      </c>
      <c r="AN142">
        <v>0</v>
      </c>
      <c r="AO142">
        <v>0.001458233721872925</v>
      </c>
      <c r="AP142">
        <v>0.0019435186384534338</v>
      </c>
      <c r="AQ142">
        <v>1.001686238082073</v>
      </c>
      <c r="AR142">
        <v>0</v>
      </c>
      <c r="AS142">
        <v>7.807296848119857</v>
      </c>
      <c r="AT142">
        <v>0</v>
      </c>
      <c r="AU142">
        <v>0</v>
      </c>
      <c r="AV142">
        <v>1.001686238082073</v>
      </c>
      <c r="AW142">
        <v>1</v>
      </c>
    </row>
    <row r="143" spans="2:49" ht="12.75">
      <c r="B143" t="s">
        <v>20</v>
      </c>
      <c r="C143">
        <v>2</v>
      </c>
      <c r="G143">
        <v>0</v>
      </c>
      <c r="H143">
        <v>0</v>
      </c>
      <c r="I143">
        <v>0</v>
      </c>
      <c r="J143">
        <v>0</v>
      </c>
      <c r="K143">
        <v>0.0011025474245471548</v>
      </c>
      <c r="L143">
        <v>0</v>
      </c>
      <c r="M143">
        <v>0.02577471515799531</v>
      </c>
      <c r="N143">
        <v>0</v>
      </c>
      <c r="O143">
        <v>0</v>
      </c>
      <c r="P143">
        <v>0</v>
      </c>
      <c r="Q143">
        <v>0</v>
      </c>
      <c r="R143">
        <v>0</v>
      </c>
      <c r="S143">
        <v>0</v>
      </c>
      <c r="T143">
        <v>0</v>
      </c>
      <c r="U143">
        <v>0</v>
      </c>
      <c r="V143">
        <v>0</v>
      </c>
      <c r="W143">
        <v>0.026877262582542465</v>
      </c>
      <c r="X143">
        <v>6.504297544975277</v>
      </c>
      <c r="Z143">
        <v>0</v>
      </c>
      <c r="AA143">
        <v>0</v>
      </c>
      <c r="AB143">
        <v>0</v>
      </c>
      <c r="AC143">
        <v>0</v>
      </c>
      <c r="AD143">
        <v>2.604290206382493E-05</v>
      </c>
      <c r="AE143">
        <v>0</v>
      </c>
      <c r="AF143">
        <v>0.004621303814504108</v>
      </c>
      <c r="AG143">
        <v>0</v>
      </c>
      <c r="AH143">
        <v>0</v>
      </c>
      <c r="AI143">
        <v>0</v>
      </c>
      <c r="AJ143">
        <v>0</v>
      </c>
      <c r="AK143">
        <v>0</v>
      </c>
      <c r="AL143">
        <v>0</v>
      </c>
      <c r="AM143">
        <v>0</v>
      </c>
      <c r="AN143">
        <v>0</v>
      </c>
      <c r="AO143">
        <v>0</v>
      </c>
      <c r="AP143">
        <v>0.004647346716567933</v>
      </c>
      <c r="AQ143">
        <v>3.1192755610240805</v>
      </c>
      <c r="AR143">
        <v>0</v>
      </c>
      <c r="AS143">
        <v>20.288696373670305</v>
      </c>
      <c r="AT143">
        <v>0</v>
      </c>
      <c r="AU143">
        <v>0</v>
      </c>
      <c r="AV143">
        <v>3.1192755610240805</v>
      </c>
      <c r="AW143">
        <v>1</v>
      </c>
    </row>
    <row r="144" spans="2:49" ht="12.75">
      <c r="B144" t="s">
        <v>21</v>
      </c>
      <c r="C144">
        <v>62</v>
      </c>
      <c r="G144">
        <v>0</v>
      </c>
      <c r="H144">
        <v>0</v>
      </c>
      <c r="I144">
        <v>0</v>
      </c>
      <c r="J144">
        <v>0</v>
      </c>
      <c r="K144">
        <v>0</v>
      </c>
      <c r="L144">
        <v>0.00010886240398576383</v>
      </c>
      <c r="M144">
        <v>0</v>
      </c>
      <c r="N144">
        <v>0.1083375462982167</v>
      </c>
      <c r="O144">
        <v>0</v>
      </c>
      <c r="P144">
        <v>0</v>
      </c>
      <c r="Q144">
        <v>0</v>
      </c>
      <c r="R144">
        <v>0</v>
      </c>
      <c r="S144">
        <v>0</v>
      </c>
      <c r="T144">
        <v>0</v>
      </c>
      <c r="U144">
        <v>0</v>
      </c>
      <c r="V144">
        <v>0.12986374751848775</v>
      </c>
      <c r="W144">
        <v>0.2383101562206902</v>
      </c>
      <c r="X144">
        <v>57.67105780540703</v>
      </c>
      <c r="Z144">
        <v>0</v>
      </c>
      <c r="AA144">
        <v>0</v>
      </c>
      <c r="AB144">
        <v>0</v>
      </c>
      <c r="AC144">
        <v>0</v>
      </c>
      <c r="AD144">
        <v>0</v>
      </c>
      <c r="AE144">
        <v>2.571402247479957E-06</v>
      </c>
      <c r="AF144">
        <v>0</v>
      </c>
      <c r="AG144">
        <v>0.019424490741914532</v>
      </c>
      <c r="AH144">
        <v>0</v>
      </c>
      <c r="AI144">
        <v>0</v>
      </c>
      <c r="AJ144">
        <v>0</v>
      </c>
      <c r="AK144">
        <v>0</v>
      </c>
      <c r="AL144">
        <v>0</v>
      </c>
      <c r="AM144">
        <v>0</v>
      </c>
      <c r="AN144">
        <v>0</v>
      </c>
      <c r="AO144">
        <v>0.08402030093370735</v>
      </c>
      <c r="AP144">
        <v>0.10344736307786936</v>
      </c>
      <c r="AQ144">
        <v>0.32494185536458847</v>
      </c>
      <c r="AR144">
        <v>0</v>
      </c>
      <c r="AS144">
        <v>18.73974052412739</v>
      </c>
      <c r="AT144">
        <v>0</v>
      </c>
      <c r="AU144">
        <v>0</v>
      </c>
      <c r="AV144">
        <v>0.32494185536458847</v>
      </c>
      <c r="AW144">
        <v>1</v>
      </c>
    </row>
    <row r="145" spans="3:49" ht="12.75">
      <c r="C145">
        <v>242</v>
      </c>
      <c r="D145">
        <v>0</v>
      </c>
      <c r="E145">
        <v>0</v>
      </c>
      <c r="F145">
        <v>0</v>
      </c>
      <c r="G145">
        <v>0</v>
      </c>
      <c r="H145">
        <v>0</v>
      </c>
      <c r="I145">
        <v>0</v>
      </c>
      <c r="J145">
        <v>0</v>
      </c>
      <c r="K145">
        <v>0.046677241284262115</v>
      </c>
      <c r="L145">
        <v>0.00460877834775713</v>
      </c>
      <c r="M145">
        <v>0.14375508907048137</v>
      </c>
      <c r="N145">
        <v>0.6042384376436636</v>
      </c>
      <c r="O145">
        <v>0</v>
      </c>
      <c r="P145">
        <v>0</v>
      </c>
      <c r="Q145">
        <v>0</v>
      </c>
      <c r="R145">
        <v>0</v>
      </c>
      <c r="S145">
        <v>0</v>
      </c>
      <c r="T145">
        <v>0</v>
      </c>
      <c r="U145">
        <v>0</v>
      </c>
      <c r="V145">
        <v>0.20072045365383573</v>
      </c>
      <c r="W145">
        <v>1</v>
      </c>
      <c r="X145">
        <v>242</v>
      </c>
      <c r="Z145">
        <v>0</v>
      </c>
      <c r="AA145">
        <v>0</v>
      </c>
      <c r="AB145">
        <v>0</v>
      </c>
      <c r="AC145">
        <v>0</v>
      </c>
      <c r="AD145">
        <v>0.021507454049026008</v>
      </c>
      <c r="AE145">
        <v>0.0021235849808020515</v>
      </c>
      <c r="AF145">
        <v>0.06623797566930043</v>
      </c>
      <c r="AG145">
        <v>0.2784147064976186</v>
      </c>
      <c r="AH145">
        <v>0</v>
      </c>
      <c r="AI145">
        <v>0</v>
      </c>
      <c r="AJ145">
        <v>0</v>
      </c>
      <c r="AK145">
        <v>0</v>
      </c>
      <c r="AL145">
        <v>0</v>
      </c>
      <c r="AM145">
        <v>0</v>
      </c>
      <c r="AN145">
        <v>0</v>
      </c>
      <c r="AO145">
        <v>0.09248588423144577</v>
      </c>
      <c r="AP145">
        <v>0.4607696054281928</v>
      </c>
      <c r="AQ145">
        <v>263.4513948362166</v>
      </c>
      <c r="AR145">
        <v>8</v>
      </c>
      <c r="AT145">
        <v>11.370781558244232</v>
      </c>
      <c r="AU145">
        <v>20</v>
      </c>
      <c r="AV145">
        <v>8.784916203065887</v>
      </c>
      <c r="AW145">
        <v>8</v>
      </c>
    </row>
    <row r="146" spans="43:48" ht="12.75">
      <c r="AQ146" t="s">
        <v>38</v>
      </c>
      <c r="AU146">
        <v>6.548662511377605</v>
      </c>
      <c r="AV146" s="41">
        <v>15.333578714443492</v>
      </c>
    </row>
    <row r="149" spans="2:3" ht="12.75">
      <c r="B149" t="s">
        <v>98</v>
      </c>
      <c r="C149" s="48">
        <v>0.0979969648357781</v>
      </c>
    </row>
    <row r="150" spans="2:26" ht="12.75">
      <c r="B150" t="s">
        <v>99</v>
      </c>
      <c r="C150" s="48">
        <v>0.13239449498172562</v>
      </c>
      <c r="Z150" t="s">
        <v>34</v>
      </c>
    </row>
    <row r="151" spans="2:3" ht="12.75">
      <c r="B151" t="s">
        <v>100</v>
      </c>
      <c r="C151" s="48">
        <v>0.033360327443689296</v>
      </c>
    </row>
    <row r="152" spans="2:42" ht="12.75">
      <c r="B152" t="s">
        <v>5</v>
      </c>
      <c r="C152" s="48">
        <v>0.5</v>
      </c>
      <c r="G152" t="s">
        <v>107</v>
      </c>
      <c r="Z152" t="s">
        <v>101</v>
      </c>
      <c r="AP152" t="s">
        <v>108</v>
      </c>
    </row>
    <row r="153" spans="23:43" ht="12.75">
      <c r="W153" t="s">
        <v>22</v>
      </c>
      <c r="X153" t="s">
        <v>2</v>
      </c>
      <c r="AP153" t="s">
        <v>22</v>
      </c>
      <c r="AQ153" t="s">
        <v>37</v>
      </c>
    </row>
    <row r="154" spans="7:52" ht="12.75">
      <c r="G154">
        <v>0</v>
      </c>
      <c r="H154">
        <v>0</v>
      </c>
      <c r="I154">
        <v>0</v>
      </c>
      <c r="J154">
        <v>0</v>
      </c>
      <c r="K154" s="48">
        <v>0.013002737297454279</v>
      </c>
      <c r="L154" s="48">
        <v>0</v>
      </c>
      <c r="M154" s="48">
        <v>0.17307379955352267</v>
      </c>
      <c r="N154">
        <v>0</v>
      </c>
      <c r="O154">
        <v>0</v>
      </c>
      <c r="P154">
        <v>0</v>
      </c>
      <c r="Q154">
        <v>0</v>
      </c>
      <c r="R154">
        <v>0</v>
      </c>
      <c r="S154">
        <v>0</v>
      </c>
      <c r="T154">
        <v>0</v>
      </c>
      <c r="U154">
        <v>0</v>
      </c>
      <c r="V154" s="48">
        <v>0.813923463149023</v>
      </c>
      <c r="W154">
        <v>1</v>
      </c>
      <c r="X154" t="s">
        <v>97</v>
      </c>
      <c r="Z154">
        <v>0</v>
      </c>
      <c r="AA154">
        <v>0</v>
      </c>
      <c r="AB154">
        <v>0</v>
      </c>
      <c r="AC154">
        <v>0</v>
      </c>
      <c r="AD154">
        <v>0.013002737297454279</v>
      </c>
      <c r="AE154">
        <v>0</v>
      </c>
      <c r="AF154">
        <v>0.17307379955352267</v>
      </c>
      <c r="AG154">
        <v>0</v>
      </c>
      <c r="AH154">
        <v>0</v>
      </c>
      <c r="AI154">
        <v>0</v>
      </c>
      <c r="AJ154">
        <v>0</v>
      </c>
      <c r="AK154">
        <v>0</v>
      </c>
      <c r="AL154">
        <v>0</v>
      </c>
      <c r="AM154">
        <v>0</v>
      </c>
      <c r="AN154">
        <v>0</v>
      </c>
      <c r="AO154">
        <v>0.813923463149023</v>
      </c>
      <c r="AP154">
        <v>1</v>
      </c>
      <c r="AX154" s="53" t="s">
        <v>90</v>
      </c>
      <c r="AY154" s="53" t="s">
        <v>91</v>
      </c>
      <c r="AZ154" s="53"/>
    </row>
    <row r="155" spans="2:52" ht="12.75">
      <c r="B155" t="s">
        <v>1</v>
      </c>
      <c r="C155" t="s">
        <v>102</v>
      </c>
      <c r="D155" t="s">
        <v>103</v>
      </c>
      <c r="E155" t="s">
        <v>104</v>
      </c>
      <c r="F155" t="s">
        <v>105</v>
      </c>
      <c r="G155" t="s">
        <v>6</v>
      </c>
      <c r="H155" t="s">
        <v>8</v>
      </c>
      <c r="I155" t="s">
        <v>9</v>
      </c>
      <c r="J155" t="s">
        <v>10</v>
      </c>
      <c r="K155" t="s">
        <v>11</v>
      </c>
      <c r="L155" t="s">
        <v>12</v>
      </c>
      <c r="M155" t="s">
        <v>13</v>
      </c>
      <c r="N155" t="s">
        <v>14</v>
      </c>
      <c r="O155" t="s">
        <v>7</v>
      </c>
      <c r="P155" t="s">
        <v>15</v>
      </c>
      <c r="Q155" t="s">
        <v>16</v>
      </c>
      <c r="R155" t="s">
        <v>17</v>
      </c>
      <c r="S155" t="s">
        <v>18</v>
      </c>
      <c r="T155" t="s">
        <v>19</v>
      </c>
      <c r="U155" t="s">
        <v>20</v>
      </c>
      <c r="V155" t="s">
        <v>21</v>
      </c>
      <c r="Z155" t="s">
        <v>6</v>
      </c>
      <c r="AA155" t="s">
        <v>8</v>
      </c>
      <c r="AB155" t="s">
        <v>9</v>
      </c>
      <c r="AC155" t="s">
        <v>10</v>
      </c>
      <c r="AD155" t="s">
        <v>11</v>
      </c>
      <c r="AE155" t="s">
        <v>12</v>
      </c>
      <c r="AF155" t="s">
        <v>13</v>
      </c>
      <c r="AG155" t="s">
        <v>14</v>
      </c>
      <c r="AH155" t="s">
        <v>7</v>
      </c>
      <c r="AI155" t="s">
        <v>15</v>
      </c>
      <c r="AJ155" t="s">
        <v>16</v>
      </c>
      <c r="AK155" t="s">
        <v>17</v>
      </c>
      <c r="AL155" t="s">
        <v>18</v>
      </c>
      <c r="AM155" t="s">
        <v>19</v>
      </c>
      <c r="AN155" t="s">
        <v>20</v>
      </c>
      <c r="AO155" t="s">
        <v>21</v>
      </c>
      <c r="AR155" t="s">
        <v>65</v>
      </c>
      <c r="AS155" t="s">
        <v>59</v>
      </c>
      <c r="AT155" t="s">
        <v>60</v>
      </c>
      <c r="AU155" t="s">
        <v>62</v>
      </c>
      <c r="AW155" t="s">
        <v>63</v>
      </c>
      <c r="AX155" s="53"/>
      <c r="AY155" s="53"/>
      <c r="AZ155" s="53"/>
    </row>
    <row r="156" spans="2:52" ht="12.75">
      <c r="B156" t="s">
        <v>6</v>
      </c>
      <c r="C156">
        <v>2</v>
      </c>
      <c r="G156">
        <v>0</v>
      </c>
      <c r="H156">
        <v>0</v>
      </c>
      <c r="I156">
        <v>0</v>
      </c>
      <c r="J156">
        <v>0</v>
      </c>
      <c r="K156">
        <v>0.0005343235697202076</v>
      </c>
      <c r="L156">
        <v>0</v>
      </c>
      <c r="M156">
        <v>0.001085296743699728</v>
      </c>
      <c r="N156">
        <v>0</v>
      </c>
      <c r="O156">
        <v>0</v>
      </c>
      <c r="P156">
        <v>0</v>
      </c>
      <c r="Q156">
        <v>0</v>
      </c>
      <c r="R156">
        <v>0</v>
      </c>
      <c r="S156">
        <v>0</v>
      </c>
      <c r="T156">
        <v>0</v>
      </c>
      <c r="U156">
        <v>0</v>
      </c>
      <c r="V156">
        <v>0.00017614342208884984</v>
      </c>
      <c r="W156">
        <v>0.0017957637355087855</v>
      </c>
      <c r="X156">
        <v>0.4345748239931261</v>
      </c>
      <c r="Z156">
        <v>0</v>
      </c>
      <c r="AA156">
        <v>0</v>
      </c>
      <c r="AB156">
        <v>0</v>
      </c>
      <c r="AC156">
        <v>0</v>
      </c>
      <c r="AD156">
        <v>2.1957044169033702E-05</v>
      </c>
      <c r="AE156">
        <v>0</v>
      </c>
      <c r="AF156">
        <v>6.805588280396999E-06</v>
      </c>
      <c r="AG156">
        <v>0</v>
      </c>
      <c r="AH156">
        <v>0</v>
      </c>
      <c r="AI156">
        <v>0</v>
      </c>
      <c r="AJ156">
        <v>0</v>
      </c>
      <c r="AK156">
        <v>0</v>
      </c>
      <c r="AL156">
        <v>0</v>
      </c>
      <c r="AM156">
        <v>0</v>
      </c>
      <c r="AN156">
        <v>0</v>
      </c>
      <c r="AO156">
        <v>3.811968391368269E-08</v>
      </c>
      <c r="AP156">
        <v>2.8800752133344384E-05</v>
      </c>
      <c r="AQ156">
        <v>5.638973650518959</v>
      </c>
      <c r="AR156">
        <v>1</v>
      </c>
      <c r="AS156">
        <v>2.450555981676152</v>
      </c>
      <c r="AT156">
        <v>0.4345748239931261</v>
      </c>
      <c r="AU156">
        <v>2</v>
      </c>
      <c r="AV156">
        <v>0</v>
      </c>
      <c r="AW156">
        <v>0</v>
      </c>
      <c r="AX156" s="53">
        <f>100*(C160+C161+C162+C163+C168+C169+C170+C171)/C172</f>
        <v>91.32231404958678</v>
      </c>
      <c r="AY156" s="53">
        <f>100*(X160+X161+X162+X163+X168+X169+X170+X171)/X172</f>
        <v>90.20030351642218</v>
      </c>
      <c r="AZ156" s="53" t="s">
        <v>93</v>
      </c>
    </row>
    <row r="157" spans="2:52" ht="12.75">
      <c r="B157" t="s">
        <v>8</v>
      </c>
      <c r="C157">
        <v>1</v>
      </c>
      <c r="G157">
        <v>0</v>
      </c>
      <c r="H157">
        <v>0</v>
      </c>
      <c r="I157">
        <v>0</v>
      </c>
      <c r="J157">
        <v>0</v>
      </c>
      <c r="K157">
        <v>1.844038658128702E-05</v>
      </c>
      <c r="L157">
        <v>0</v>
      </c>
      <c r="M157">
        <v>3.745537843242568E-05</v>
      </c>
      <c r="N157">
        <v>0</v>
      </c>
      <c r="O157">
        <v>0</v>
      </c>
      <c r="P157">
        <v>0</v>
      </c>
      <c r="Q157">
        <v>0</v>
      </c>
      <c r="R157">
        <v>0</v>
      </c>
      <c r="S157">
        <v>0</v>
      </c>
      <c r="T157">
        <v>0</v>
      </c>
      <c r="U157">
        <v>0</v>
      </c>
      <c r="V157">
        <v>0.00510388335181413</v>
      </c>
      <c r="W157">
        <v>0.005159779116827842</v>
      </c>
      <c r="X157">
        <v>1.2486665462723379</v>
      </c>
      <c r="Z157">
        <v>0</v>
      </c>
      <c r="AA157">
        <v>0</v>
      </c>
      <c r="AB157">
        <v>0</v>
      </c>
      <c r="AC157">
        <v>0</v>
      </c>
      <c r="AD157">
        <v>2.6152020877472173E-08</v>
      </c>
      <c r="AE157">
        <v>0</v>
      </c>
      <c r="AF157">
        <v>8.105821777387939E-09</v>
      </c>
      <c r="AG157">
        <v>0</v>
      </c>
      <c r="AH157">
        <v>0</v>
      </c>
      <c r="AI157">
        <v>0</v>
      </c>
      <c r="AJ157">
        <v>0</v>
      </c>
      <c r="AK157">
        <v>0</v>
      </c>
      <c r="AL157">
        <v>0</v>
      </c>
      <c r="AM157">
        <v>0</v>
      </c>
      <c r="AN157">
        <v>0</v>
      </c>
      <c r="AO157">
        <v>3.2005005935252116E-05</v>
      </c>
      <c r="AP157">
        <v>3.203926377790698E-05</v>
      </c>
      <c r="AQ157">
        <v>0.04952086801685351</v>
      </c>
      <c r="AR157">
        <v>1</v>
      </c>
      <c r="AS157">
        <v>0.06183505123501275</v>
      </c>
      <c r="AT157">
        <v>1.2486665462723379</v>
      </c>
      <c r="AU157">
        <v>1</v>
      </c>
      <c r="AV157">
        <v>0</v>
      </c>
      <c r="AW157">
        <v>0</v>
      </c>
      <c r="AX157" s="53">
        <f>100*(C158+C159+C162+C163+C166+C167+C170+C171)/C172</f>
        <v>83.05785123966942</v>
      </c>
      <c r="AY157" s="53">
        <f>100*(X158+X159+X162+X163+X166+X167+X170+X171)/X172</f>
        <v>85.8045749396573</v>
      </c>
      <c r="AZ157" s="53" t="s">
        <v>94</v>
      </c>
    </row>
    <row r="158" spans="2:52" ht="12.75">
      <c r="B158" t="s">
        <v>9</v>
      </c>
      <c r="C158">
        <v>1</v>
      </c>
      <c r="G158">
        <v>0</v>
      </c>
      <c r="H158">
        <v>0</v>
      </c>
      <c r="I158">
        <v>0</v>
      </c>
      <c r="J158">
        <v>0</v>
      </c>
      <c r="K158">
        <v>8.153648030212731E-05</v>
      </c>
      <c r="L158">
        <v>0</v>
      </c>
      <c r="M158">
        <v>0.007112149410307894</v>
      </c>
      <c r="N158">
        <v>0</v>
      </c>
      <c r="O158">
        <v>0</v>
      </c>
      <c r="P158">
        <v>0</v>
      </c>
      <c r="Q158">
        <v>0</v>
      </c>
      <c r="R158">
        <v>0</v>
      </c>
      <c r="S158">
        <v>0</v>
      </c>
      <c r="T158">
        <v>0</v>
      </c>
      <c r="U158">
        <v>0</v>
      </c>
      <c r="V158">
        <v>0.0011543002803714594</v>
      </c>
      <c r="W158">
        <v>0.00834798617098148</v>
      </c>
      <c r="X158">
        <v>2.020212653377518</v>
      </c>
      <c r="Z158">
        <v>0</v>
      </c>
      <c r="AA158">
        <v>0</v>
      </c>
      <c r="AB158">
        <v>0</v>
      </c>
      <c r="AC158">
        <v>0</v>
      </c>
      <c r="AD158">
        <v>5.112921585642434E-07</v>
      </c>
      <c r="AE158">
        <v>0</v>
      </c>
      <c r="AF158">
        <v>0.0002922606966798596</v>
      </c>
      <c r="AG158">
        <v>0</v>
      </c>
      <c r="AH158">
        <v>0</v>
      </c>
      <c r="AI158">
        <v>0</v>
      </c>
      <c r="AJ158">
        <v>0</v>
      </c>
      <c r="AK158">
        <v>0</v>
      </c>
      <c r="AL158">
        <v>0</v>
      </c>
      <c r="AM158">
        <v>0</v>
      </c>
      <c r="AN158">
        <v>0</v>
      </c>
      <c r="AO158">
        <v>1.6370201838273778E-06</v>
      </c>
      <c r="AP158">
        <v>0.00029440900902225124</v>
      </c>
      <c r="AQ158">
        <v>0.515210047997405</v>
      </c>
      <c r="AR158">
        <v>1</v>
      </c>
      <c r="AS158">
        <v>1.0408338581115961</v>
      </c>
      <c r="AT158">
        <v>2.020212653377518</v>
      </c>
      <c r="AU158">
        <v>1</v>
      </c>
      <c r="AV158">
        <v>0</v>
      </c>
      <c r="AW158">
        <v>0</v>
      </c>
      <c r="AX158" s="53">
        <f>100*(C157+C159+C161+C163+C165+C167+C169+C171)/C172</f>
        <v>80.57851239669421</v>
      </c>
      <c r="AY158" s="53">
        <f>100*(X157+X159+X161+X163+X165+X167+X169+X171)/X172</f>
        <v>79.29782841032062</v>
      </c>
      <c r="AZ158" s="53" t="s">
        <v>95</v>
      </c>
    </row>
    <row r="159" spans="2:52" ht="12.75">
      <c r="B159" t="s">
        <v>10</v>
      </c>
      <c r="C159">
        <v>3</v>
      </c>
      <c r="G159">
        <v>0</v>
      </c>
      <c r="H159">
        <v>0</v>
      </c>
      <c r="I159">
        <v>0</v>
      </c>
      <c r="J159">
        <v>0</v>
      </c>
      <c r="K159">
        <v>2.813958250121824E-06</v>
      </c>
      <c r="L159">
        <v>0</v>
      </c>
      <c r="M159">
        <v>0.0002454519919804879</v>
      </c>
      <c r="N159">
        <v>0</v>
      </c>
      <c r="O159">
        <v>0</v>
      </c>
      <c r="P159">
        <v>0</v>
      </c>
      <c r="Q159">
        <v>0</v>
      </c>
      <c r="R159">
        <v>0</v>
      </c>
      <c r="S159">
        <v>0</v>
      </c>
      <c r="T159">
        <v>0</v>
      </c>
      <c r="U159">
        <v>0</v>
      </c>
      <c r="V159">
        <v>0.03344668744434034</v>
      </c>
      <c r="W159">
        <v>0.033694953394570945</v>
      </c>
      <c r="X159">
        <v>8.154178721486169</v>
      </c>
      <c r="Z159">
        <v>0</v>
      </c>
      <c r="AA159">
        <v>0</v>
      </c>
      <c r="AB159">
        <v>0</v>
      </c>
      <c r="AC159">
        <v>0</v>
      </c>
      <c r="AD159">
        <v>6.089764679763977E-10</v>
      </c>
      <c r="AE159">
        <v>0</v>
      </c>
      <c r="AF159">
        <v>3.480982131472671E-07</v>
      </c>
      <c r="AG159">
        <v>0</v>
      </c>
      <c r="AH159">
        <v>0</v>
      </c>
      <c r="AI159">
        <v>0</v>
      </c>
      <c r="AJ159">
        <v>0</v>
      </c>
      <c r="AK159">
        <v>0</v>
      </c>
      <c r="AL159">
        <v>0</v>
      </c>
      <c r="AM159">
        <v>0</v>
      </c>
      <c r="AN159">
        <v>0</v>
      </c>
      <c r="AO159">
        <v>0.001374430092813987</v>
      </c>
      <c r="AP159">
        <v>0.0013747788000036023</v>
      </c>
      <c r="AQ159">
        <v>3.2579072890591485</v>
      </c>
      <c r="AR159">
        <v>0</v>
      </c>
      <c r="AS159">
        <v>26.565558293020796</v>
      </c>
      <c r="AT159">
        <v>0</v>
      </c>
      <c r="AU159">
        <v>0</v>
      </c>
      <c r="AV159">
        <v>3.2579072890591485</v>
      </c>
      <c r="AW159">
        <v>1</v>
      </c>
      <c r="AX159" s="53">
        <f>100*(C164+C165+C166+C167+C168+C169+C170+C171)/C172</f>
        <v>35.12396694214876</v>
      </c>
      <c r="AY159" s="53">
        <f>100*(X164+X165+X166+X167+X168+X169+X170+X171)/X172</f>
        <v>50</v>
      </c>
      <c r="AZ159" s="53" t="s">
        <v>96</v>
      </c>
    </row>
    <row r="160" spans="2:49" ht="12.75">
      <c r="B160" t="s">
        <v>11</v>
      </c>
      <c r="C160">
        <v>6</v>
      </c>
      <c r="G160">
        <v>0</v>
      </c>
      <c r="H160">
        <v>0</v>
      </c>
      <c r="I160">
        <v>0</v>
      </c>
      <c r="J160">
        <v>0</v>
      </c>
      <c r="K160">
        <v>0.0049181266221364405</v>
      </c>
      <c r="L160">
        <v>0</v>
      </c>
      <c r="M160">
        <v>0.009989502822985347</v>
      </c>
      <c r="N160">
        <v>0</v>
      </c>
      <c r="O160">
        <v>0</v>
      </c>
      <c r="P160">
        <v>0</v>
      </c>
      <c r="Q160">
        <v>0</v>
      </c>
      <c r="R160">
        <v>0</v>
      </c>
      <c r="S160">
        <v>0</v>
      </c>
      <c r="T160">
        <v>0</v>
      </c>
      <c r="U160">
        <v>0</v>
      </c>
      <c r="V160">
        <v>0.0016212941045123915</v>
      </c>
      <c r="W160">
        <v>0.01652892354963418</v>
      </c>
      <c r="X160">
        <v>3.9999994990114716</v>
      </c>
      <c r="Z160">
        <v>0</v>
      </c>
      <c r="AA160">
        <v>0</v>
      </c>
      <c r="AB160">
        <v>0</v>
      </c>
      <c r="AC160">
        <v>0</v>
      </c>
      <c r="AD160">
        <v>0.0018602213455548933</v>
      </c>
      <c r="AE160">
        <v>0</v>
      </c>
      <c r="AF160">
        <v>0.0005765758127911922</v>
      </c>
      <c r="AG160">
        <v>0</v>
      </c>
      <c r="AH160">
        <v>0</v>
      </c>
      <c r="AI160">
        <v>0</v>
      </c>
      <c r="AJ160">
        <v>0</v>
      </c>
      <c r="AK160">
        <v>0</v>
      </c>
      <c r="AL160">
        <v>0</v>
      </c>
      <c r="AM160">
        <v>0</v>
      </c>
      <c r="AN160">
        <v>0</v>
      </c>
      <c r="AO160">
        <v>3.2295353216096717E-06</v>
      </c>
      <c r="AP160">
        <v>0.002440026693667695</v>
      </c>
      <c r="AQ160">
        <v>1.0000006262358019</v>
      </c>
      <c r="AR160">
        <v>1</v>
      </c>
      <c r="AS160">
        <v>4.000002003954365</v>
      </c>
      <c r="AT160">
        <v>3.9999994990114716</v>
      </c>
      <c r="AU160">
        <v>6</v>
      </c>
      <c r="AV160">
        <v>0</v>
      </c>
      <c r="AW160">
        <v>0</v>
      </c>
    </row>
    <row r="161" spans="2:49" ht="12.75">
      <c r="B161" t="s">
        <v>12</v>
      </c>
      <c r="C161">
        <v>15</v>
      </c>
      <c r="G161">
        <v>0</v>
      </c>
      <c r="H161">
        <v>0</v>
      </c>
      <c r="I161">
        <v>0</v>
      </c>
      <c r="J161">
        <v>0</v>
      </c>
      <c r="K161">
        <v>0.0001697326513509505</v>
      </c>
      <c r="L161">
        <v>0</v>
      </c>
      <c r="M161">
        <v>0.0003447541981110199</v>
      </c>
      <c r="N161">
        <v>0</v>
      </c>
      <c r="O161">
        <v>0</v>
      </c>
      <c r="P161">
        <v>0</v>
      </c>
      <c r="Q161">
        <v>0</v>
      </c>
      <c r="R161">
        <v>0</v>
      </c>
      <c r="S161">
        <v>0</v>
      </c>
      <c r="T161">
        <v>0</v>
      </c>
      <c r="U161">
        <v>0</v>
      </c>
      <c r="V161">
        <v>0.04697817205028065</v>
      </c>
      <c r="W161">
        <v>0.04749265889974262</v>
      </c>
      <c r="X161">
        <v>11.493223453737714</v>
      </c>
      <c r="Z161">
        <v>0</v>
      </c>
      <c r="AA161">
        <v>0</v>
      </c>
      <c r="AB161">
        <v>0</v>
      </c>
      <c r="AC161">
        <v>0</v>
      </c>
      <c r="AD161">
        <v>2.2156237010389867E-06</v>
      </c>
      <c r="AE161">
        <v>0</v>
      </c>
      <c r="AF161">
        <v>6.867328123712716E-07</v>
      </c>
      <c r="AG161">
        <v>0</v>
      </c>
      <c r="AH161">
        <v>0</v>
      </c>
      <c r="AI161">
        <v>0</v>
      </c>
      <c r="AJ161">
        <v>0</v>
      </c>
      <c r="AK161">
        <v>0</v>
      </c>
      <c r="AL161">
        <v>0</v>
      </c>
      <c r="AM161">
        <v>0</v>
      </c>
      <c r="AN161">
        <v>0</v>
      </c>
      <c r="AO161">
        <v>0.0027114940766631954</v>
      </c>
      <c r="AP161">
        <v>0.0027143964331766057</v>
      </c>
      <c r="AQ161">
        <v>1.06997673845939</v>
      </c>
      <c r="AR161">
        <v>0</v>
      </c>
      <c r="AS161">
        <v>12.297481745415244</v>
      </c>
      <c r="AT161">
        <v>0</v>
      </c>
      <c r="AU161">
        <v>0</v>
      </c>
      <c r="AV161">
        <v>1.06997673845939</v>
      </c>
      <c r="AW161">
        <v>1</v>
      </c>
    </row>
    <row r="162" spans="2:49" ht="12.75">
      <c r="B162" t="s">
        <v>13</v>
      </c>
      <c r="C162">
        <v>25</v>
      </c>
      <c r="G162">
        <v>0</v>
      </c>
      <c r="H162">
        <v>0</v>
      </c>
      <c r="I162">
        <v>0</v>
      </c>
      <c r="J162">
        <v>0</v>
      </c>
      <c r="K162">
        <v>0.0007504941896146905</v>
      </c>
      <c r="L162">
        <v>0</v>
      </c>
      <c r="M162">
        <v>0.06546305148725388</v>
      </c>
      <c r="N162">
        <v>0</v>
      </c>
      <c r="O162">
        <v>0</v>
      </c>
      <c r="P162">
        <v>0</v>
      </c>
      <c r="Q162">
        <v>0</v>
      </c>
      <c r="R162">
        <v>0</v>
      </c>
      <c r="S162">
        <v>0</v>
      </c>
      <c r="T162">
        <v>0</v>
      </c>
      <c r="U162">
        <v>0</v>
      </c>
      <c r="V162">
        <v>0.01062463881540379</v>
      </c>
      <c r="W162">
        <v>0.07683818449227237</v>
      </c>
      <c r="X162">
        <v>18.594840647129914</v>
      </c>
      <c r="Z162">
        <v>0</v>
      </c>
      <c r="AA162">
        <v>0</v>
      </c>
      <c r="AB162">
        <v>0</v>
      </c>
      <c r="AC162">
        <v>0</v>
      </c>
      <c r="AD162">
        <v>4.3317150516890346E-05</v>
      </c>
      <c r="AE162">
        <v>0</v>
      </c>
      <c r="AF162">
        <v>0.024760599935275584</v>
      </c>
      <c r="AG162">
        <v>0</v>
      </c>
      <c r="AH162">
        <v>0</v>
      </c>
      <c r="AI162">
        <v>0</v>
      </c>
      <c r="AJ162">
        <v>0</v>
      </c>
      <c r="AK162">
        <v>0</v>
      </c>
      <c r="AL162">
        <v>0</v>
      </c>
      <c r="AM162">
        <v>0</v>
      </c>
      <c r="AN162">
        <v>0</v>
      </c>
      <c r="AO162">
        <v>0.00013868988310159684</v>
      </c>
      <c r="AP162">
        <v>0.02494260696889407</v>
      </c>
      <c r="AQ162">
        <v>2.206314488744568</v>
      </c>
      <c r="AR162">
        <v>0</v>
      </c>
      <c r="AS162">
        <v>41.026066335659145</v>
      </c>
      <c r="AT162">
        <v>0</v>
      </c>
      <c r="AU162">
        <v>0</v>
      </c>
      <c r="AV162">
        <v>2.206314488744568</v>
      </c>
      <c r="AW162">
        <v>1</v>
      </c>
    </row>
    <row r="163" spans="1:49" ht="12.75">
      <c r="A163" t="s">
        <v>4</v>
      </c>
      <c r="B163" t="s">
        <v>14</v>
      </c>
      <c r="C163">
        <v>104</v>
      </c>
      <c r="G163">
        <v>0</v>
      </c>
      <c r="H163">
        <v>0</v>
      </c>
      <c r="I163">
        <v>0</v>
      </c>
      <c r="J163">
        <v>0</v>
      </c>
      <c r="K163">
        <v>2.590079077131383E-05</v>
      </c>
      <c r="L163">
        <v>0</v>
      </c>
      <c r="M163">
        <v>0.0022592377439905474</v>
      </c>
      <c r="N163">
        <v>0</v>
      </c>
      <c r="O163">
        <v>0</v>
      </c>
      <c r="P163">
        <v>0</v>
      </c>
      <c r="Q163">
        <v>0</v>
      </c>
      <c r="R163">
        <v>0</v>
      </c>
      <c r="S163">
        <v>0</v>
      </c>
      <c r="T163">
        <v>0</v>
      </c>
      <c r="U163">
        <v>0</v>
      </c>
      <c r="V163">
        <v>0.30785661210569987</v>
      </c>
      <c r="W163">
        <v>0.31014175064046173</v>
      </c>
      <c r="X163">
        <v>75.05430365499174</v>
      </c>
      <c r="Z163">
        <v>0</v>
      </c>
      <c r="AA163">
        <v>0</v>
      </c>
      <c r="AB163">
        <v>0</v>
      </c>
      <c r="AC163">
        <v>0</v>
      </c>
      <c r="AD163">
        <v>5.1593056695125055E-08</v>
      </c>
      <c r="AE163">
        <v>0</v>
      </c>
      <c r="AF163">
        <v>2.949120662421842E-05</v>
      </c>
      <c r="AG163">
        <v>0</v>
      </c>
      <c r="AH163">
        <v>0</v>
      </c>
      <c r="AI163">
        <v>0</v>
      </c>
      <c r="AJ163">
        <v>0</v>
      </c>
      <c r="AK163">
        <v>0</v>
      </c>
      <c r="AL163">
        <v>0</v>
      </c>
      <c r="AM163">
        <v>0</v>
      </c>
      <c r="AN163">
        <v>0</v>
      </c>
      <c r="AO163">
        <v>0.1164430046659641</v>
      </c>
      <c r="AP163">
        <v>0.11647254746564502</v>
      </c>
      <c r="AQ163">
        <v>11.163295055655349</v>
      </c>
      <c r="AR163">
        <v>0</v>
      </c>
      <c r="AS163">
        <v>837.8533368974245</v>
      </c>
      <c r="AT163">
        <v>0</v>
      </c>
      <c r="AU163">
        <v>0</v>
      </c>
      <c r="AV163">
        <v>11.163295055655349</v>
      </c>
      <c r="AW163">
        <v>1</v>
      </c>
    </row>
    <row r="164" spans="2:49" ht="12.75">
      <c r="B164" t="s">
        <v>7</v>
      </c>
      <c r="C164">
        <v>7</v>
      </c>
      <c r="G164">
        <v>0</v>
      </c>
      <c r="H164">
        <v>0</v>
      </c>
      <c r="I164">
        <v>0</v>
      </c>
      <c r="J164">
        <v>0</v>
      </c>
      <c r="K164">
        <v>0.0005343235697202076</v>
      </c>
      <c r="L164">
        <v>0</v>
      </c>
      <c r="M164">
        <v>0.001085296743699728</v>
      </c>
      <c r="N164">
        <v>0</v>
      </c>
      <c r="O164">
        <v>0</v>
      </c>
      <c r="P164">
        <v>0</v>
      </c>
      <c r="Q164">
        <v>0</v>
      </c>
      <c r="R164">
        <v>0</v>
      </c>
      <c r="S164">
        <v>0</v>
      </c>
      <c r="T164">
        <v>0</v>
      </c>
      <c r="U164">
        <v>0</v>
      </c>
      <c r="V164">
        <v>0.00017614342208884984</v>
      </c>
      <c r="W164">
        <v>0.0017957637355087855</v>
      </c>
      <c r="X164">
        <v>0.4345748239931261</v>
      </c>
      <c r="Z164">
        <v>0</v>
      </c>
      <c r="AA164">
        <v>0</v>
      </c>
      <c r="AB164">
        <v>0</v>
      </c>
      <c r="AC164">
        <v>0</v>
      </c>
      <c r="AD164">
        <v>2.1957044169033702E-05</v>
      </c>
      <c r="AE164">
        <v>0</v>
      </c>
      <c r="AF164">
        <v>6.805588280396999E-06</v>
      </c>
      <c r="AG164">
        <v>0</v>
      </c>
      <c r="AH164">
        <v>0</v>
      </c>
      <c r="AI164">
        <v>0</v>
      </c>
      <c r="AJ164">
        <v>0</v>
      </c>
      <c r="AK164">
        <v>0</v>
      </c>
      <c r="AL164">
        <v>0</v>
      </c>
      <c r="AM164">
        <v>0</v>
      </c>
      <c r="AN164">
        <v>0</v>
      </c>
      <c r="AO164">
        <v>3.811968391368269E-08</v>
      </c>
      <c r="AP164">
        <v>2.8800752133344384E-05</v>
      </c>
      <c r="AQ164">
        <v>99.18846044893458</v>
      </c>
      <c r="AR164">
        <v>1</v>
      </c>
      <c r="AS164">
        <v>43.10480774174489</v>
      </c>
      <c r="AT164">
        <v>0.4345748239931261</v>
      </c>
      <c r="AU164">
        <v>7</v>
      </c>
      <c r="AV164">
        <v>0</v>
      </c>
      <c r="AW164">
        <v>0</v>
      </c>
    </row>
    <row r="165" spans="2:49" ht="12.75">
      <c r="B165" t="s">
        <v>15</v>
      </c>
      <c r="C165">
        <v>3</v>
      </c>
      <c r="G165">
        <v>0</v>
      </c>
      <c r="H165">
        <v>0</v>
      </c>
      <c r="I165">
        <v>0</v>
      </c>
      <c r="J165">
        <v>0</v>
      </c>
      <c r="K165">
        <v>1.844038658128702E-05</v>
      </c>
      <c r="L165">
        <v>0</v>
      </c>
      <c r="M165">
        <v>3.745537843242568E-05</v>
      </c>
      <c r="N165">
        <v>0</v>
      </c>
      <c r="O165">
        <v>0</v>
      </c>
      <c r="P165">
        <v>0</v>
      </c>
      <c r="Q165">
        <v>0</v>
      </c>
      <c r="R165">
        <v>0</v>
      </c>
      <c r="S165">
        <v>0</v>
      </c>
      <c r="T165">
        <v>0</v>
      </c>
      <c r="U165">
        <v>0</v>
      </c>
      <c r="V165">
        <v>0.00510388335181413</v>
      </c>
      <c r="W165">
        <v>0.005159779116827842</v>
      </c>
      <c r="X165">
        <v>1.2486665462723379</v>
      </c>
      <c r="Z165">
        <v>0</v>
      </c>
      <c r="AA165">
        <v>0</v>
      </c>
      <c r="AB165">
        <v>0</v>
      </c>
      <c r="AC165">
        <v>0</v>
      </c>
      <c r="AD165">
        <v>2.6152020877472173E-08</v>
      </c>
      <c r="AE165">
        <v>0</v>
      </c>
      <c r="AF165">
        <v>8.105821777387939E-09</v>
      </c>
      <c r="AG165">
        <v>0</v>
      </c>
      <c r="AH165">
        <v>0</v>
      </c>
      <c r="AI165">
        <v>0</v>
      </c>
      <c r="AJ165">
        <v>0</v>
      </c>
      <c r="AK165">
        <v>0</v>
      </c>
      <c r="AL165">
        <v>0</v>
      </c>
      <c r="AM165">
        <v>0</v>
      </c>
      <c r="AN165">
        <v>0</v>
      </c>
      <c r="AO165">
        <v>3.2005005935252116E-05</v>
      </c>
      <c r="AP165">
        <v>3.203926377790698E-05</v>
      </c>
      <c r="AQ165">
        <v>2.4563554419729785</v>
      </c>
      <c r="AR165">
        <v>1</v>
      </c>
      <c r="AS165">
        <v>3.067168866145661</v>
      </c>
      <c r="AT165">
        <v>1.2486665462723379</v>
      </c>
      <c r="AU165">
        <v>3</v>
      </c>
      <c r="AV165">
        <v>0</v>
      </c>
      <c r="AW165">
        <v>0</v>
      </c>
    </row>
    <row r="166" spans="2:49" ht="12.75">
      <c r="B166" t="s">
        <v>16</v>
      </c>
      <c r="C166">
        <v>2</v>
      </c>
      <c r="G166">
        <v>0</v>
      </c>
      <c r="H166">
        <v>0</v>
      </c>
      <c r="I166">
        <v>0</v>
      </c>
      <c r="J166">
        <v>0</v>
      </c>
      <c r="K166">
        <v>8.153648030212731E-05</v>
      </c>
      <c r="L166">
        <v>0</v>
      </c>
      <c r="M166">
        <v>0.007112149410307894</v>
      </c>
      <c r="N166">
        <v>0</v>
      </c>
      <c r="O166">
        <v>0</v>
      </c>
      <c r="P166">
        <v>0</v>
      </c>
      <c r="Q166">
        <v>0</v>
      </c>
      <c r="R166">
        <v>0</v>
      </c>
      <c r="S166">
        <v>0</v>
      </c>
      <c r="T166">
        <v>0</v>
      </c>
      <c r="U166">
        <v>0</v>
      </c>
      <c r="V166">
        <v>0.0011543002803714594</v>
      </c>
      <c r="W166">
        <v>0.00834798617098148</v>
      </c>
      <c r="X166">
        <v>2.020212653377518</v>
      </c>
      <c r="Z166">
        <v>0</v>
      </c>
      <c r="AA166">
        <v>0</v>
      </c>
      <c r="AB166">
        <v>0</v>
      </c>
      <c r="AC166">
        <v>0</v>
      </c>
      <c r="AD166">
        <v>5.112921585642434E-07</v>
      </c>
      <c r="AE166">
        <v>0</v>
      </c>
      <c r="AF166">
        <v>0.0002922606966798596</v>
      </c>
      <c r="AG166">
        <v>0</v>
      </c>
      <c r="AH166">
        <v>0</v>
      </c>
      <c r="AI166">
        <v>0</v>
      </c>
      <c r="AJ166">
        <v>0</v>
      </c>
      <c r="AK166">
        <v>0</v>
      </c>
      <c r="AL166">
        <v>0</v>
      </c>
      <c r="AM166">
        <v>0</v>
      </c>
      <c r="AN166">
        <v>0</v>
      </c>
      <c r="AO166">
        <v>1.6370201838273778E-06</v>
      </c>
      <c r="AP166">
        <v>0.00029440900902225124</v>
      </c>
      <c r="AQ166">
        <v>0.000202231857065471</v>
      </c>
      <c r="AR166">
        <v>1</v>
      </c>
      <c r="AS166">
        <v>0.0004085513565596982</v>
      </c>
      <c r="AT166">
        <v>2.020212653377518</v>
      </c>
      <c r="AU166">
        <v>2</v>
      </c>
      <c r="AV166">
        <v>0</v>
      </c>
      <c r="AW166">
        <v>0</v>
      </c>
    </row>
    <row r="167" spans="2:49" ht="12.75">
      <c r="B167" t="s">
        <v>17</v>
      </c>
      <c r="C167">
        <v>2</v>
      </c>
      <c r="G167">
        <v>0</v>
      </c>
      <c r="H167">
        <v>0</v>
      </c>
      <c r="I167">
        <v>0</v>
      </c>
      <c r="J167">
        <v>0</v>
      </c>
      <c r="K167">
        <v>2.813958250121824E-06</v>
      </c>
      <c r="L167">
        <v>0</v>
      </c>
      <c r="M167">
        <v>0.0002454519919804879</v>
      </c>
      <c r="N167">
        <v>0</v>
      </c>
      <c r="O167">
        <v>0</v>
      </c>
      <c r="P167">
        <v>0</v>
      </c>
      <c r="Q167">
        <v>0</v>
      </c>
      <c r="R167">
        <v>0</v>
      </c>
      <c r="S167">
        <v>0</v>
      </c>
      <c r="T167">
        <v>0</v>
      </c>
      <c r="U167">
        <v>0</v>
      </c>
      <c r="V167">
        <v>0.03344668744434034</v>
      </c>
      <c r="W167">
        <v>0.033694953394570945</v>
      </c>
      <c r="X167">
        <v>8.154178721486169</v>
      </c>
      <c r="Z167">
        <v>0</v>
      </c>
      <c r="AA167">
        <v>0</v>
      </c>
      <c r="AB167">
        <v>0</v>
      </c>
      <c r="AC167">
        <v>0</v>
      </c>
      <c r="AD167">
        <v>6.089764679763977E-10</v>
      </c>
      <c r="AE167">
        <v>0</v>
      </c>
      <c r="AF167">
        <v>3.480982131472671E-07</v>
      </c>
      <c r="AG167">
        <v>0</v>
      </c>
      <c r="AH167">
        <v>0</v>
      </c>
      <c r="AI167">
        <v>0</v>
      </c>
      <c r="AJ167">
        <v>0</v>
      </c>
      <c r="AK167">
        <v>0</v>
      </c>
      <c r="AL167">
        <v>0</v>
      </c>
      <c r="AM167">
        <v>0</v>
      </c>
      <c r="AN167">
        <v>0</v>
      </c>
      <c r="AO167">
        <v>0.001374430092813987</v>
      </c>
      <c r="AP167">
        <v>0.0013747788000036023</v>
      </c>
      <c r="AQ167">
        <v>4.644724751518604</v>
      </c>
      <c r="AR167">
        <v>0</v>
      </c>
      <c r="AS167">
        <v>37.87391573599313</v>
      </c>
      <c r="AT167">
        <v>0</v>
      </c>
      <c r="AU167">
        <v>0</v>
      </c>
      <c r="AV167">
        <v>4.644724751518604</v>
      </c>
      <c r="AW167">
        <v>1</v>
      </c>
    </row>
    <row r="168" spans="2:49" ht="12.75">
      <c r="B168" t="s">
        <v>18</v>
      </c>
      <c r="C168">
        <v>2</v>
      </c>
      <c r="G168">
        <v>0</v>
      </c>
      <c r="H168">
        <v>0</v>
      </c>
      <c r="I168">
        <v>0</v>
      </c>
      <c r="J168">
        <v>0</v>
      </c>
      <c r="K168">
        <v>0.0049181266221364405</v>
      </c>
      <c r="L168">
        <v>0</v>
      </c>
      <c r="M168">
        <v>0.009989502822985347</v>
      </c>
      <c r="N168">
        <v>0</v>
      </c>
      <c r="O168">
        <v>0</v>
      </c>
      <c r="P168">
        <v>0</v>
      </c>
      <c r="Q168">
        <v>0</v>
      </c>
      <c r="R168">
        <v>0</v>
      </c>
      <c r="S168">
        <v>0</v>
      </c>
      <c r="T168">
        <v>0</v>
      </c>
      <c r="U168">
        <v>0</v>
      </c>
      <c r="V168">
        <v>0.0016212941045123915</v>
      </c>
      <c r="W168">
        <v>0.01652892354963418</v>
      </c>
      <c r="X168">
        <v>3.9999994990114716</v>
      </c>
      <c r="Z168">
        <v>0</v>
      </c>
      <c r="AA168">
        <v>0</v>
      </c>
      <c r="AB168">
        <v>0</v>
      </c>
      <c r="AC168">
        <v>0</v>
      </c>
      <c r="AD168">
        <v>0.0018602213455548933</v>
      </c>
      <c r="AE168">
        <v>0</v>
      </c>
      <c r="AF168">
        <v>0.0005765758127911922</v>
      </c>
      <c r="AG168">
        <v>0</v>
      </c>
      <c r="AH168">
        <v>0</v>
      </c>
      <c r="AI168">
        <v>0</v>
      </c>
      <c r="AJ168">
        <v>0</v>
      </c>
      <c r="AK168">
        <v>0</v>
      </c>
      <c r="AL168">
        <v>0</v>
      </c>
      <c r="AM168">
        <v>0</v>
      </c>
      <c r="AN168">
        <v>0</v>
      </c>
      <c r="AO168">
        <v>3.2295353216096717E-06</v>
      </c>
      <c r="AP168">
        <v>0.002440026693667695</v>
      </c>
      <c r="AQ168">
        <v>0.9999996242586193</v>
      </c>
      <c r="AR168">
        <v>1</v>
      </c>
      <c r="AS168">
        <v>3.999997996046137</v>
      </c>
      <c r="AT168">
        <v>3.9999994990114716</v>
      </c>
      <c r="AU168">
        <v>2</v>
      </c>
      <c r="AV168">
        <v>0</v>
      </c>
      <c r="AW168">
        <v>0</v>
      </c>
    </row>
    <row r="169" spans="2:49" ht="12.75">
      <c r="B169" t="s">
        <v>19</v>
      </c>
      <c r="C169">
        <v>5</v>
      </c>
      <c r="G169">
        <v>0</v>
      </c>
      <c r="H169">
        <v>0</v>
      </c>
      <c r="I169">
        <v>0</v>
      </c>
      <c r="J169">
        <v>0</v>
      </c>
      <c r="K169">
        <v>0.0001697326513509505</v>
      </c>
      <c r="L169">
        <v>0</v>
      </c>
      <c r="M169">
        <v>0.0003447541981110199</v>
      </c>
      <c r="N169">
        <v>0</v>
      </c>
      <c r="O169">
        <v>0</v>
      </c>
      <c r="P169">
        <v>0</v>
      </c>
      <c r="Q169">
        <v>0</v>
      </c>
      <c r="R169">
        <v>0</v>
      </c>
      <c r="S169">
        <v>0</v>
      </c>
      <c r="T169">
        <v>0</v>
      </c>
      <c r="U169">
        <v>0</v>
      </c>
      <c r="V169">
        <v>0.04697817205028065</v>
      </c>
      <c r="W169">
        <v>0.04749265889974262</v>
      </c>
      <c r="X169">
        <v>11.493223453737714</v>
      </c>
      <c r="Z169">
        <v>0</v>
      </c>
      <c r="AA169">
        <v>0</v>
      </c>
      <c r="AB169">
        <v>0</v>
      </c>
      <c r="AC169">
        <v>0</v>
      </c>
      <c r="AD169">
        <v>2.2156237010389867E-06</v>
      </c>
      <c r="AE169">
        <v>0</v>
      </c>
      <c r="AF169">
        <v>6.867328123712716E-07</v>
      </c>
      <c r="AG169">
        <v>0</v>
      </c>
      <c r="AH169">
        <v>0</v>
      </c>
      <c r="AI169">
        <v>0</v>
      </c>
      <c r="AJ169">
        <v>0</v>
      </c>
      <c r="AK169">
        <v>0</v>
      </c>
      <c r="AL169">
        <v>0</v>
      </c>
      <c r="AM169">
        <v>0</v>
      </c>
      <c r="AN169">
        <v>0</v>
      </c>
      <c r="AO169">
        <v>0.0027114940766631954</v>
      </c>
      <c r="AP169">
        <v>0.0027143964331766057</v>
      </c>
      <c r="AQ169">
        <v>3.6684182631512336</v>
      </c>
      <c r="AR169">
        <v>0</v>
      </c>
      <c r="AS169">
        <v>42.16195082016953</v>
      </c>
      <c r="AT169">
        <v>0</v>
      </c>
      <c r="AU169">
        <v>0</v>
      </c>
      <c r="AV169">
        <v>3.6684182631512336</v>
      </c>
      <c r="AW169">
        <v>1</v>
      </c>
    </row>
    <row r="170" spans="2:49" ht="12.75">
      <c r="B170" t="s">
        <v>20</v>
      </c>
      <c r="C170">
        <v>2</v>
      </c>
      <c r="G170">
        <v>0</v>
      </c>
      <c r="H170">
        <v>0</v>
      </c>
      <c r="I170">
        <v>0</v>
      </c>
      <c r="J170">
        <v>0</v>
      </c>
      <c r="K170">
        <v>0.0007504941896146905</v>
      </c>
      <c r="L170">
        <v>0</v>
      </c>
      <c r="M170">
        <v>0.06546305148725388</v>
      </c>
      <c r="N170">
        <v>0</v>
      </c>
      <c r="O170">
        <v>0</v>
      </c>
      <c r="P170">
        <v>0</v>
      </c>
      <c r="Q170">
        <v>0</v>
      </c>
      <c r="R170">
        <v>0</v>
      </c>
      <c r="S170">
        <v>0</v>
      </c>
      <c r="T170">
        <v>0</v>
      </c>
      <c r="U170">
        <v>0</v>
      </c>
      <c r="V170">
        <v>0.01062463881540379</v>
      </c>
      <c r="W170">
        <v>0.07683818449227237</v>
      </c>
      <c r="X170">
        <v>18.594840647129914</v>
      </c>
      <c r="Z170">
        <v>0</v>
      </c>
      <c r="AA170">
        <v>0</v>
      </c>
      <c r="AB170">
        <v>0</v>
      </c>
      <c r="AC170">
        <v>0</v>
      </c>
      <c r="AD170">
        <v>4.3317150516890346E-05</v>
      </c>
      <c r="AE170">
        <v>0</v>
      </c>
      <c r="AF170">
        <v>0.024760599935275584</v>
      </c>
      <c r="AG170">
        <v>0</v>
      </c>
      <c r="AH170">
        <v>0</v>
      </c>
      <c r="AI170">
        <v>0</v>
      </c>
      <c r="AJ170">
        <v>0</v>
      </c>
      <c r="AK170">
        <v>0</v>
      </c>
      <c r="AL170">
        <v>0</v>
      </c>
      <c r="AM170">
        <v>0</v>
      </c>
      <c r="AN170">
        <v>0</v>
      </c>
      <c r="AO170">
        <v>0.00013868988310159684</v>
      </c>
      <c r="AP170">
        <v>0.02494260696889407</v>
      </c>
      <c r="AQ170">
        <v>14.809954079716247</v>
      </c>
      <c r="AR170">
        <v>0</v>
      </c>
      <c r="AS170">
        <v>275.38873610363515</v>
      </c>
      <c r="AT170">
        <v>0</v>
      </c>
      <c r="AU170">
        <v>0</v>
      </c>
      <c r="AV170">
        <v>14.809954079716247</v>
      </c>
      <c r="AW170">
        <v>1</v>
      </c>
    </row>
    <row r="171" spans="2:49" ht="12.75">
      <c r="B171" t="s">
        <v>21</v>
      </c>
      <c r="C171">
        <v>62</v>
      </c>
      <c r="G171">
        <v>0</v>
      </c>
      <c r="H171">
        <v>0</v>
      </c>
      <c r="I171">
        <v>0</v>
      </c>
      <c r="J171">
        <v>0</v>
      </c>
      <c r="K171">
        <v>2.590079077131383E-05</v>
      </c>
      <c r="L171">
        <v>0</v>
      </c>
      <c r="M171">
        <v>0.0022592377439905474</v>
      </c>
      <c r="N171">
        <v>0</v>
      </c>
      <c r="O171">
        <v>0</v>
      </c>
      <c r="P171">
        <v>0</v>
      </c>
      <c r="Q171">
        <v>0</v>
      </c>
      <c r="R171">
        <v>0</v>
      </c>
      <c r="S171">
        <v>0</v>
      </c>
      <c r="T171">
        <v>0</v>
      </c>
      <c r="U171">
        <v>0</v>
      </c>
      <c r="V171">
        <v>0.30785661210569987</v>
      </c>
      <c r="W171">
        <v>0.31014175064046173</v>
      </c>
      <c r="X171">
        <v>75.05430365499174</v>
      </c>
      <c r="Z171">
        <v>0</v>
      </c>
      <c r="AA171">
        <v>0</v>
      </c>
      <c r="AB171">
        <v>0</v>
      </c>
      <c r="AC171">
        <v>0</v>
      </c>
      <c r="AD171">
        <v>5.1593056695125055E-08</v>
      </c>
      <c r="AE171">
        <v>0</v>
      </c>
      <c r="AF171">
        <v>2.949120662421842E-05</v>
      </c>
      <c r="AG171">
        <v>0</v>
      </c>
      <c r="AH171">
        <v>0</v>
      </c>
      <c r="AI171">
        <v>0</v>
      </c>
      <c r="AJ171">
        <v>0</v>
      </c>
      <c r="AK171">
        <v>0</v>
      </c>
      <c r="AL171">
        <v>0</v>
      </c>
      <c r="AM171">
        <v>0</v>
      </c>
      <c r="AN171">
        <v>0</v>
      </c>
      <c r="AO171">
        <v>0.1164430046659641</v>
      </c>
      <c r="AP171">
        <v>0.11647254746564502</v>
      </c>
      <c r="AQ171">
        <v>2.2705539271950426</v>
      </c>
      <c r="AR171">
        <v>0</v>
      </c>
      <c r="AS171">
        <v>170.41484391673075</v>
      </c>
      <c r="AT171">
        <v>0</v>
      </c>
      <c r="AU171">
        <v>0</v>
      </c>
      <c r="AV171">
        <v>2.2705539271950426</v>
      </c>
      <c r="AW171">
        <v>1</v>
      </c>
    </row>
    <row r="172" spans="3:49" ht="12.75">
      <c r="C172">
        <v>242</v>
      </c>
      <c r="D172">
        <v>0</v>
      </c>
      <c r="E172">
        <v>0</v>
      </c>
      <c r="F172">
        <v>0</v>
      </c>
      <c r="G172">
        <v>0</v>
      </c>
      <c r="H172">
        <v>0</v>
      </c>
      <c r="I172">
        <v>0</v>
      </c>
      <c r="J172">
        <v>0</v>
      </c>
      <c r="K172">
        <v>0.013002737297454277</v>
      </c>
      <c r="L172">
        <v>0</v>
      </c>
      <c r="M172">
        <v>0.1730737995535227</v>
      </c>
      <c r="N172">
        <v>0</v>
      </c>
      <c r="O172">
        <v>0</v>
      </c>
      <c r="P172">
        <v>0</v>
      </c>
      <c r="Q172">
        <v>0</v>
      </c>
      <c r="R172">
        <v>0</v>
      </c>
      <c r="S172">
        <v>0</v>
      </c>
      <c r="T172">
        <v>0</v>
      </c>
      <c r="U172">
        <v>0</v>
      </c>
      <c r="V172">
        <v>0.8139234631490229</v>
      </c>
      <c r="W172">
        <v>1</v>
      </c>
      <c r="X172">
        <v>242</v>
      </c>
      <c r="Z172">
        <v>0</v>
      </c>
      <c r="AA172">
        <v>0</v>
      </c>
      <c r="AB172">
        <v>0</v>
      </c>
      <c r="AC172">
        <v>0</v>
      </c>
      <c r="AD172">
        <v>0.003856601620308922</v>
      </c>
      <c r="AE172">
        <v>0</v>
      </c>
      <c r="AF172">
        <v>0.05133355235299709</v>
      </c>
      <c r="AG172">
        <v>0</v>
      </c>
      <c r="AH172">
        <v>0</v>
      </c>
      <c r="AI172">
        <v>0</v>
      </c>
      <c r="AJ172">
        <v>0</v>
      </c>
      <c r="AK172">
        <v>0</v>
      </c>
      <c r="AL172">
        <v>0</v>
      </c>
      <c r="AM172">
        <v>0</v>
      </c>
      <c r="AN172">
        <v>0</v>
      </c>
      <c r="AO172">
        <v>0.241409056799335</v>
      </c>
      <c r="AP172">
        <v>0.296599210772641</v>
      </c>
      <c r="AQ172">
        <v>152.93986753329182</v>
      </c>
      <c r="AR172">
        <v>8</v>
      </c>
      <c r="AT172">
        <v>15.406907045308907</v>
      </c>
      <c r="AU172">
        <v>24</v>
      </c>
      <c r="AV172">
        <v>43.091144593499585</v>
      </c>
      <c r="AW172">
        <v>8</v>
      </c>
    </row>
    <row r="173" spans="43:48" ht="12.75">
      <c r="AQ173" t="s">
        <v>38</v>
      </c>
      <c r="AU173">
        <v>4.792736550613828</v>
      </c>
      <c r="AV173" s="41">
        <v>47.88388114411342</v>
      </c>
    </row>
    <row r="174" spans="5:47" ht="12.75">
      <c r="E174" t="s">
        <v>106</v>
      </c>
      <c r="F174">
        <v>0</v>
      </c>
      <c r="AP174" t="s">
        <v>106</v>
      </c>
      <c r="AU174" t="s">
        <v>61</v>
      </c>
    </row>
    <row r="176" ht="12.75">
      <c r="E176" t="s">
        <v>49</v>
      </c>
    </row>
    <row r="177" spans="2:3" ht="12.75">
      <c r="B177" t="s">
        <v>98</v>
      </c>
      <c r="C177" s="48">
        <v>0.10288927179141773</v>
      </c>
    </row>
    <row r="178" spans="2:26" ht="12.75">
      <c r="B178" t="s">
        <v>99</v>
      </c>
      <c r="C178" s="48">
        <v>0.1467927231751371</v>
      </c>
      <c r="Z178" t="s">
        <v>34</v>
      </c>
    </row>
    <row r="179" spans="2:3" ht="12.75">
      <c r="B179" t="s">
        <v>100</v>
      </c>
      <c r="C179" s="48">
        <v>0.00717935881501636</v>
      </c>
    </row>
    <row r="180" spans="2:42" ht="12.75">
      <c r="B180" t="s">
        <v>5</v>
      </c>
      <c r="C180" s="48">
        <v>0.10037097092452832</v>
      </c>
      <c r="G180" t="s">
        <v>107</v>
      </c>
      <c r="Z180" t="s">
        <v>101</v>
      </c>
      <c r="AP180" t="s">
        <v>108</v>
      </c>
    </row>
    <row r="181" spans="23:43" ht="12.75">
      <c r="W181" t="s">
        <v>22</v>
      </c>
      <c r="X181" t="s">
        <v>2</v>
      </c>
      <c r="AP181" t="s">
        <v>22</v>
      </c>
      <c r="AQ181" t="s">
        <v>37</v>
      </c>
    </row>
    <row r="182" spans="7:52" ht="12.75">
      <c r="G182">
        <v>0</v>
      </c>
      <c r="H182">
        <v>0</v>
      </c>
      <c r="I182">
        <v>0</v>
      </c>
      <c r="J182">
        <v>0</v>
      </c>
      <c r="K182">
        <v>0</v>
      </c>
      <c r="L182" s="48">
        <v>0</v>
      </c>
      <c r="M182" s="48">
        <v>0.1942450402011595</v>
      </c>
      <c r="N182" s="48">
        <v>0.5169324923627211</v>
      </c>
      <c r="O182">
        <v>0</v>
      </c>
      <c r="P182">
        <v>0</v>
      </c>
      <c r="Q182">
        <v>0</v>
      </c>
      <c r="R182">
        <v>0</v>
      </c>
      <c r="S182">
        <v>0</v>
      </c>
      <c r="T182">
        <v>0</v>
      </c>
      <c r="U182">
        <v>0</v>
      </c>
      <c r="V182" s="48">
        <v>0.28882246743611945</v>
      </c>
      <c r="W182">
        <v>1</v>
      </c>
      <c r="X182" t="s">
        <v>97</v>
      </c>
      <c r="Z182">
        <v>0</v>
      </c>
      <c r="AA182">
        <v>0</v>
      </c>
      <c r="AB182">
        <v>0</v>
      </c>
      <c r="AC182">
        <v>0</v>
      </c>
      <c r="AD182">
        <v>0</v>
      </c>
      <c r="AE182">
        <v>0</v>
      </c>
      <c r="AF182">
        <v>0.1942450402011595</v>
      </c>
      <c r="AG182">
        <v>0.5169324923627211</v>
      </c>
      <c r="AH182">
        <v>0</v>
      </c>
      <c r="AI182">
        <v>0</v>
      </c>
      <c r="AJ182">
        <v>0</v>
      </c>
      <c r="AK182">
        <v>0</v>
      </c>
      <c r="AL182">
        <v>0</v>
      </c>
      <c r="AM182">
        <v>0</v>
      </c>
      <c r="AN182">
        <v>0</v>
      </c>
      <c r="AO182">
        <v>0.28882246743611945</v>
      </c>
      <c r="AP182">
        <v>1</v>
      </c>
      <c r="AX182" s="53" t="s">
        <v>90</v>
      </c>
      <c r="AY182" s="53" t="s">
        <v>91</v>
      </c>
      <c r="AZ182" s="53"/>
    </row>
    <row r="183" spans="2:52" ht="12.75">
      <c r="B183" t="s">
        <v>1</v>
      </c>
      <c r="C183" t="s">
        <v>102</v>
      </c>
      <c r="D183" t="s">
        <v>103</v>
      </c>
      <c r="E183" t="s">
        <v>104</v>
      </c>
      <c r="F183" t="s">
        <v>105</v>
      </c>
      <c r="G183" t="s">
        <v>6</v>
      </c>
      <c r="H183" t="s">
        <v>8</v>
      </c>
      <c r="I183" t="s">
        <v>9</v>
      </c>
      <c r="J183" t="s">
        <v>10</v>
      </c>
      <c r="K183" t="s">
        <v>11</v>
      </c>
      <c r="L183" t="s">
        <v>12</v>
      </c>
      <c r="M183" t="s">
        <v>13</v>
      </c>
      <c r="N183" t="s">
        <v>14</v>
      </c>
      <c r="O183" t="s">
        <v>7</v>
      </c>
      <c r="P183" t="s">
        <v>15</v>
      </c>
      <c r="Q183" t="s">
        <v>16</v>
      </c>
      <c r="R183" t="s">
        <v>17</v>
      </c>
      <c r="S183" t="s">
        <v>18</v>
      </c>
      <c r="T183" t="s">
        <v>19</v>
      </c>
      <c r="U183" t="s">
        <v>20</v>
      </c>
      <c r="V183" t="s">
        <v>21</v>
      </c>
      <c r="Z183" t="s">
        <v>6</v>
      </c>
      <c r="AA183" t="s">
        <v>8</v>
      </c>
      <c r="AB183" t="s">
        <v>9</v>
      </c>
      <c r="AC183" t="s">
        <v>10</v>
      </c>
      <c r="AD183" t="s">
        <v>11</v>
      </c>
      <c r="AE183" t="s">
        <v>12</v>
      </c>
      <c r="AF183" t="s">
        <v>13</v>
      </c>
      <c r="AG183" t="s">
        <v>14</v>
      </c>
      <c r="AH183" t="s">
        <v>7</v>
      </c>
      <c r="AI183" t="s">
        <v>15</v>
      </c>
      <c r="AJ183" t="s">
        <v>16</v>
      </c>
      <c r="AK183" t="s">
        <v>17</v>
      </c>
      <c r="AL183" t="s">
        <v>18</v>
      </c>
      <c r="AM183" t="s">
        <v>19</v>
      </c>
      <c r="AN183" t="s">
        <v>20</v>
      </c>
      <c r="AO183" t="s">
        <v>21</v>
      </c>
      <c r="AR183" t="s">
        <v>65</v>
      </c>
      <c r="AS183" t="s">
        <v>59</v>
      </c>
      <c r="AT183" t="s">
        <v>60</v>
      </c>
      <c r="AU183" t="s">
        <v>62</v>
      </c>
      <c r="AW183" t="s">
        <v>63</v>
      </c>
      <c r="AX183" s="53"/>
      <c r="AY183" s="53"/>
      <c r="AZ183" s="53"/>
    </row>
    <row r="184" spans="2:52" ht="12.75">
      <c r="B184" t="s">
        <v>6</v>
      </c>
      <c r="C184">
        <v>2</v>
      </c>
      <c r="G184">
        <v>0</v>
      </c>
      <c r="H184">
        <v>0</v>
      </c>
      <c r="I184">
        <v>0</v>
      </c>
      <c r="J184">
        <v>0</v>
      </c>
      <c r="K184">
        <v>0</v>
      </c>
      <c r="L184">
        <v>0</v>
      </c>
      <c r="M184">
        <v>0.00262034706623744</v>
      </c>
      <c r="N184">
        <v>5.042635441304605E-05</v>
      </c>
      <c r="O184">
        <v>0</v>
      </c>
      <c r="P184">
        <v>0</v>
      </c>
      <c r="Q184">
        <v>0</v>
      </c>
      <c r="R184">
        <v>0</v>
      </c>
      <c r="S184">
        <v>0</v>
      </c>
      <c r="T184">
        <v>0</v>
      </c>
      <c r="U184">
        <v>0</v>
      </c>
      <c r="V184">
        <v>3.143398048297786E-06</v>
      </c>
      <c r="W184">
        <v>0.0026739168186987834</v>
      </c>
      <c r="X184">
        <v>0.6470878701251056</v>
      </c>
      <c r="Z184">
        <v>0</v>
      </c>
      <c r="AA184">
        <v>0</v>
      </c>
      <c r="AB184">
        <v>0</v>
      </c>
      <c r="AC184">
        <v>0</v>
      </c>
      <c r="AD184">
        <v>0</v>
      </c>
      <c r="AE184">
        <v>0</v>
      </c>
      <c r="AF184">
        <v>3.534823200854202E-05</v>
      </c>
      <c r="AG184">
        <v>4.919050856655931E-09</v>
      </c>
      <c r="AH184">
        <v>0</v>
      </c>
      <c r="AI184">
        <v>0</v>
      </c>
      <c r="AJ184">
        <v>0</v>
      </c>
      <c r="AK184">
        <v>0</v>
      </c>
      <c r="AL184">
        <v>0</v>
      </c>
      <c r="AM184">
        <v>0</v>
      </c>
      <c r="AN184">
        <v>0</v>
      </c>
      <c r="AO184">
        <v>3.4211158770838194E-11</v>
      </c>
      <c r="AP184">
        <v>3.535318527055744E-05</v>
      </c>
      <c r="AQ184">
        <v>2.828628561386486</v>
      </c>
      <c r="AR184">
        <v>1</v>
      </c>
      <c r="AS184">
        <v>1.8303712311626228</v>
      </c>
      <c r="AT184">
        <v>0.6470878701251056</v>
      </c>
      <c r="AU184">
        <v>2</v>
      </c>
      <c r="AV184">
        <v>0</v>
      </c>
      <c r="AW184">
        <v>0</v>
      </c>
      <c r="AX184" s="53">
        <f>100*(C188+C189+C190+C191+C196+C197+C198+C199)/C200</f>
        <v>91.32231404958678</v>
      </c>
      <c r="AY184" s="53">
        <f>100*(X188+X189+X190+X191+X196+X197+X198+X199)/X200</f>
        <v>89.71107282085825</v>
      </c>
      <c r="AZ184" s="53" t="s">
        <v>93</v>
      </c>
    </row>
    <row r="185" spans="2:52" ht="12.75">
      <c r="B185" t="s">
        <v>8</v>
      </c>
      <c r="C185">
        <v>1</v>
      </c>
      <c r="G185">
        <v>0</v>
      </c>
      <c r="H185">
        <v>0</v>
      </c>
      <c r="I185">
        <v>0</v>
      </c>
      <c r="J185">
        <v>0</v>
      </c>
      <c r="K185">
        <v>0</v>
      </c>
      <c r="L185">
        <v>0</v>
      </c>
      <c r="M185">
        <v>1.8948449526533234E-05</v>
      </c>
      <c r="N185">
        <v>0.006973370019655093</v>
      </c>
      <c r="O185">
        <v>0</v>
      </c>
      <c r="P185">
        <v>0</v>
      </c>
      <c r="Q185">
        <v>0</v>
      </c>
      <c r="R185">
        <v>0</v>
      </c>
      <c r="S185">
        <v>0</v>
      </c>
      <c r="T185">
        <v>0</v>
      </c>
      <c r="U185">
        <v>0</v>
      </c>
      <c r="V185">
        <v>0.00043469487265117583</v>
      </c>
      <c r="W185">
        <v>0.007427013341832802</v>
      </c>
      <c r="X185">
        <v>1.797337228723538</v>
      </c>
      <c r="Z185">
        <v>0</v>
      </c>
      <c r="AA185">
        <v>0</v>
      </c>
      <c r="AB185">
        <v>0</v>
      </c>
      <c r="AC185">
        <v>0</v>
      </c>
      <c r="AD185">
        <v>0</v>
      </c>
      <c r="AE185">
        <v>0</v>
      </c>
      <c r="AF185">
        <v>1.8484062145821229E-09</v>
      </c>
      <c r="AG185">
        <v>9.407009648157938E-05</v>
      </c>
      <c r="AH185">
        <v>0</v>
      </c>
      <c r="AI185">
        <v>0</v>
      </c>
      <c r="AJ185">
        <v>0</v>
      </c>
      <c r="AK185">
        <v>0</v>
      </c>
      <c r="AL185">
        <v>0</v>
      </c>
      <c r="AM185">
        <v>0</v>
      </c>
      <c r="AN185">
        <v>0</v>
      </c>
      <c r="AO185">
        <v>6.542414583831338E-07</v>
      </c>
      <c r="AP185">
        <v>9.472618634617711E-05</v>
      </c>
      <c r="AQ185">
        <v>0.3537158448334353</v>
      </c>
      <c r="AR185">
        <v>1</v>
      </c>
      <c r="AS185">
        <v>0.6357466563085317</v>
      </c>
      <c r="AT185">
        <v>1.797337228723538</v>
      </c>
      <c r="AU185">
        <v>1</v>
      </c>
      <c r="AV185">
        <v>0</v>
      </c>
      <c r="AW185">
        <v>0</v>
      </c>
      <c r="AX185" s="53">
        <f>100*(C186+C187+C190+C191+C194+C195+C198+C199)/C200</f>
        <v>83.05785123966942</v>
      </c>
      <c r="AY185" s="53">
        <f>100*(X186+X187+X190+X191+X194+X195+X198+X199)/X200</f>
        <v>85.32072768248631</v>
      </c>
      <c r="AZ185" s="53" t="s">
        <v>94</v>
      </c>
    </row>
    <row r="186" spans="2:52" ht="12.75">
      <c r="B186" t="s">
        <v>9</v>
      </c>
      <c r="C186">
        <v>1</v>
      </c>
      <c r="G186">
        <v>0</v>
      </c>
      <c r="H186">
        <v>0</v>
      </c>
      <c r="I186">
        <v>0</v>
      </c>
      <c r="J186">
        <v>0</v>
      </c>
      <c r="K186">
        <v>0</v>
      </c>
      <c r="L186">
        <v>0</v>
      </c>
      <c r="M186">
        <v>0.015230313440354068</v>
      </c>
      <c r="N186">
        <v>0.00029309445044921404</v>
      </c>
      <c r="O186">
        <v>0</v>
      </c>
      <c r="P186">
        <v>0</v>
      </c>
      <c r="Q186">
        <v>0</v>
      </c>
      <c r="R186">
        <v>0</v>
      </c>
      <c r="S186">
        <v>0</v>
      </c>
      <c r="T186">
        <v>0</v>
      </c>
      <c r="U186">
        <v>0</v>
      </c>
      <c r="V186">
        <v>1.8270456673556683E-05</v>
      </c>
      <c r="W186">
        <v>0.015541678347476839</v>
      </c>
      <c r="X186">
        <v>3.761086160089395</v>
      </c>
      <c r="Z186">
        <v>0</v>
      </c>
      <c r="AA186">
        <v>0</v>
      </c>
      <c r="AB186">
        <v>0</v>
      </c>
      <c r="AC186">
        <v>0</v>
      </c>
      <c r="AD186">
        <v>0</v>
      </c>
      <c r="AE186">
        <v>0</v>
      </c>
      <c r="AF186">
        <v>0.0011941743647673588</v>
      </c>
      <c r="AG186">
        <v>1.6618099684832627E-07</v>
      </c>
      <c r="AH186">
        <v>0</v>
      </c>
      <c r="AI186">
        <v>0</v>
      </c>
      <c r="AJ186">
        <v>0</v>
      </c>
      <c r="AK186">
        <v>0</v>
      </c>
      <c r="AL186">
        <v>0</v>
      </c>
      <c r="AM186">
        <v>0</v>
      </c>
      <c r="AN186">
        <v>0</v>
      </c>
      <c r="AO186">
        <v>1.155760457361727E-09</v>
      </c>
      <c r="AP186">
        <v>0.0011943417015246646</v>
      </c>
      <c r="AQ186">
        <v>2.0269668013284754</v>
      </c>
      <c r="AR186">
        <v>1</v>
      </c>
      <c r="AS186">
        <v>7.623596783437199</v>
      </c>
      <c r="AT186">
        <v>3.761086160089395</v>
      </c>
      <c r="AU186">
        <v>1</v>
      </c>
      <c r="AV186">
        <v>0</v>
      </c>
      <c r="AW186">
        <v>0</v>
      </c>
      <c r="AX186" s="53">
        <f>100*(C185+C187+C189+C191+C193+C195+C197+C199)/C200</f>
        <v>80.57851239669421</v>
      </c>
      <c r="AY186" s="53">
        <f>100*(X185+X187+X189+X191+X193+X195+X197+X199)/X200</f>
        <v>80.1364710667107</v>
      </c>
      <c r="AZ186" s="53" t="s">
        <v>95</v>
      </c>
    </row>
    <row r="187" spans="2:52" ht="12.75">
      <c r="B187" t="s">
        <v>10</v>
      </c>
      <c r="C187">
        <v>3</v>
      </c>
      <c r="G187">
        <v>0</v>
      </c>
      <c r="H187">
        <v>0</v>
      </c>
      <c r="I187">
        <v>0</v>
      </c>
      <c r="J187">
        <v>0</v>
      </c>
      <c r="K187">
        <v>0</v>
      </c>
      <c r="L187">
        <v>0</v>
      </c>
      <c r="M187">
        <v>0.00011013458072644465</v>
      </c>
      <c r="N187">
        <v>0.04053150535032647</v>
      </c>
      <c r="O187">
        <v>0</v>
      </c>
      <c r="P187">
        <v>0</v>
      </c>
      <c r="Q187">
        <v>0</v>
      </c>
      <c r="R187">
        <v>0</v>
      </c>
      <c r="S187">
        <v>0</v>
      </c>
      <c r="T187">
        <v>0</v>
      </c>
      <c r="U187">
        <v>0</v>
      </c>
      <c r="V187">
        <v>0.002526588651822617</v>
      </c>
      <c r="W187">
        <v>0.043168228582875535</v>
      </c>
      <c r="X187">
        <v>10.446711317055879</v>
      </c>
      <c r="Z187">
        <v>0</v>
      </c>
      <c r="AA187">
        <v>0</v>
      </c>
      <c r="AB187">
        <v>0</v>
      </c>
      <c r="AC187">
        <v>0</v>
      </c>
      <c r="AD187">
        <v>0</v>
      </c>
      <c r="AE187">
        <v>0</v>
      </c>
      <c r="AF187">
        <v>6.244497084315952E-08</v>
      </c>
      <c r="AG187">
        <v>0.0031779834895942697</v>
      </c>
      <c r="AH187">
        <v>0</v>
      </c>
      <c r="AI187">
        <v>0</v>
      </c>
      <c r="AJ187">
        <v>0</v>
      </c>
      <c r="AK187">
        <v>0</v>
      </c>
      <c r="AL187">
        <v>0</v>
      </c>
      <c r="AM187">
        <v>0</v>
      </c>
      <c r="AN187">
        <v>0</v>
      </c>
      <c r="AO187">
        <v>2.2102332523458336E-05</v>
      </c>
      <c r="AP187">
        <v>0.003200148267088571</v>
      </c>
      <c r="AQ187">
        <v>5.308226460611737</v>
      </c>
      <c r="AR187">
        <v>0</v>
      </c>
      <c r="AS187">
        <v>55.4535094395681</v>
      </c>
      <c r="AT187">
        <v>0</v>
      </c>
      <c r="AU187">
        <v>0</v>
      </c>
      <c r="AV187">
        <v>5.308226460611737</v>
      </c>
      <c r="AW187">
        <v>1</v>
      </c>
      <c r="AX187" s="53">
        <f>100*(C192+C193+C194+C195+C196+C197+C198+C199)/C200</f>
        <v>35.12396694214876</v>
      </c>
      <c r="AY187" s="53">
        <f>100*(X192+X193+X194+X195+X196+X197+X198+X199)/X200</f>
        <v>33.121465539788524</v>
      </c>
      <c r="AZ187" s="53" t="s">
        <v>96</v>
      </c>
    </row>
    <row r="188" spans="2:49" ht="12.75">
      <c r="B188" t="s">
        <v>11</v>
      </c>
      <c r="C188">
        <v>6</v>
      </c>
      <c r="G188">
        <v>0</v>
      </c>
      <c r="H188">
        <v>0</v>
      </c>
      <c r="I188">
        <v>0</v>
      </c>
      <c r="J188">
        <v>0</v>
      </c>
      <c r="K188">
        <v>0</v>
      </c>
      <c r="L188">
        <v>0</v>
      </c>
      <c r="M188">
        <v>0.022847294220499807</v>
      </c>
      <c r="N188">
        <v>0.0004396767781591512</v>
      </c>
      <c r="O188">
        <v>0</v>
      </c>
      <c r="P188">
        <v>0</v>
      </c>
      <c r="Q188">
        <v>0</v>
      </c>
      <c r="R188">
        <v>0</v>
      </c>
      <c r="S188">
        <v>0</v>
      </c>
      <c r="T188">
        <v>0</v>
      </c>
      <c r="U188">
        <v>0</v>
      </c>
      <c r="V188">
        <v>2.7407873173353382E-05</v>
      </c>
      <c r="W188">
        <v>0.02331437887183231</v>
      </c>
      <c r="X188">
        <v>5.642079686983419</v>
      </c>
      <c r="Z188">
        <v>0</v>
      </c>
      <c r="AA188">
        <v>0</v>
      </c>
      <c r="AB188">
        <v>0</v>
      </c>
      <c r="AC188">
        <v>0</v>
      </c>
      <c r="AD188">
        <v>0</v>
      </c>
      <c r="AE188">
        <v>0</v>
      </c>
      <c r="AF188">
        <v>0.0026873213990818174</v>
      </c>
      <c r="AG188">
        <v>3.7396695334207353E-07</v>
      </c>
      <c r="AH188">
        <v>0</v>
      </c>
      <c r="AI188">
        <v>0</v>
      </c>
      <c r="AJ188">
        <v>0</v>
      </c>
      <c r="AK188">
        <v>0</v>
      </c>
      <c r="AL188">
        <v>0</v>
      </c>
      <c r="AM188">
        <v>0</v>
      </c>
      <c r="AN188">
        <v>0</v>
      </c>
      <c r="AO188">
        <v>2.6008763049320924E-09</v>
      </c>
      <c r="AP188">
        <v>0.0026876979669114647</v>
      </c>
      <c r="AQ188">
        <v>0.022705625864419588</v>
      </c>
      <c r="AR188">
        <v>0</v>
      </c>
      <c r="AS188">
        <v>0.1281069504698871</v>
      </c>
      <c r="AT188">
        <v>0</v>
      </c>
      <c r="AU188">
        <v>0</v>
      </c>
      <c r="AV188">
        <v>0.022705625864419588</v>
      </c>
      <c r="AW188">
        <v>1</v>
      </c>
    </row>
    <row r="189" spans="2:49" ht="12.75">
      <c r="B189" t="s">
        <v>12</v>
      </c>
      <c r="C189">
        <v>15</v>
      </c>
      <c r="G189">
        <v>0</v>
      </c>
      <c r="H189">
        <v>0</v>
      </c>
      <c r="I189">
        <v>0</v>
      </c>
      <c r="J189">
        <v>0</v>
      </c>
      <c r="K189">
        <v>0</v>
      </c>
      <c r="L189">
        <v>0</v>
      </c>
      <c r="M189">
        <v>0.0001652150613684265</v>
      </c>
      <c r="N189">
        <v>0.06080211228516535</v>
      </c>
      <c r="O189">
        <v>0</v>
      </c>
      <c r="P189">
        <v>0</v>
      </c>
      <c r="Q189">
        <v>0</v>
      </c>
      <c r="R189">
        <v>0</v>
      </c>
      <c r="S189">
        <v>0</v>
      </c>
      <c r="T189">
        <v>0</v>
      </c>
      <c r="U189">
        <v>0</v>
      </c>
      <c r="V189">
        <v>0.003790185574869252</v>
      </c>
      <c r="W189">
        <v>0.06475751292140303</v>
      </c>
      <c r="X189">
        <v>15.671318126979532</v>
      </c>
      <c r="Z189">
        <v>0</v>
      </c>
      <c r="AA189">
        <v>0</v>
      </c>
      <c r="AB189">
        <v>0</v>
      </c>
      <c r="AC189">
        <v>0</v>
      </c>
      <c r="AD189">
        <v>0</v>
      </c>
      <c r="AE189">
        <v>0</v>
      </c>
      <c r="AF189">
        <v>1.405236214767969E-07</v>
      </c>
      <c r="AG189">
        <v>0.007151604731675132</v>
      </c>
      <c r="AH189">
        <v>0</v>
      </c>
      <c r="AI189">
        <v>0</v>
      </c>
      <c r="AJ189">
        <v>0</v>
      </c>
      <c r="AK189">
        <v>0</v>
      </c>
      <c r="AL189">
        <v>0</v>
      </c>
      <c r="AM189">
        <v>0</v>
      </c>
      <c r="AN189">
        <v>0</v>
      </c>
      <c r="AO189">
        <v>4.973818975881531E-05</v>
      </c>
      <c r="AP189">
        <v>0.007201483445055424</v>
      </c>
      <c r="AQ189">
        <v>0.02875750616251246</v>
      </c>
      <c r="AR189">
        <v>0</v>
      </c>
      <c r="AS189">
        <v>0.45066802761130714</v>
      </c>
      <c r="AT189">
        <v>0</v>
      </c>
      <c r="AU189">
        <v>0</v>
      </c>
      <c r="AV189">
        <v>0.02875750616251246</v>
      </c>
      <c r="AW189">
        <v>1</v>
      </c>
    </row>
    <row r="190" spans="2:49" ht="12.75">
      <c r="B190" t="s">
        <v>13</v>
      </c>
      <c r="C190">
        <v>25</v>
      </c>
      <c r="G190">
        <v>0</v>
      </c>
      <c r="H190">
        <v>0</v>
      </c>
      <c r="I190">
        <v>0</v>
      </c>
      <c r="J190">
        <v>0</v>
      </c>
      <c r="K190">
        <v>0</v>
      </c>
      <c r="L190">
        <v>0</v>
      </c>
      <c r="M190">
        <v>0.13279594017362545</v>
      </c>
      <c r="N190">
        <v>0.0025555451146493683</v>
      </c>
      <c r="O190">
        <v>0</v>
      </c>
      <c r="P190">
        <v>0</v>
      </c>
      <c r="Q190">
        <v>0</v>
      </c>
      <c r="R190">
        <v>0</v>
      </c>
      <c r="S190">
        <v>0</v>
      </c>
      <c r="T190">
        <v>0</v>
      </c>
      <c r="U190">
        <v>0</v>
      </c>
      <c r="V190">
        <v>0.00015930351537860697</v>
      </c>
      <c r="W190">
        <v>0.13551078880365341</v>
      </c>
      <c r="X190">
        <v>32.793610890484125</v>
      </c>
      <c r="Z190">
        <v>0</v>
      </c>
      <c r="AA190">
        <v>0</v>
      </c>
      <c r="AB190">
        <v>0</v>
      </c>
      <c r="AC190">
        <v>0</v>
      </c>
      <c r="AD190">
        <v>0</v>
      </c>
      <c r="AE190">
        <v>0</v>
      </c>
      <c r="AF190">
        <v>0.0907861622017973</v>
      </c>
      <c r="AG190">
        <v>1.263377893534639E-05</v>
      </c>
      <c r="AH190">
        <v>0</v>
      </c>
      <c r="AI190">
        <v>0</v>
      </c>
      <c r="AJ190">
        <v>0</v>
      </c>
      <c r="AK190">
        <v>0</v>
      </c>
      <c r="AL190">
        <v>0</v>
      </c>
      <c r="AM190">
        <v>0</v>
      </c>
      <c r="AN190">
        <v>0</v>
      </c>
      <c r="AO190">
        <v>8.786577525377239E-08</v>
      </c>
      <c r="AP190">
        <v>0.0907988838465079</v>
      </c>
      <c r="AQ190">
        <v>1.8522013606588856</v>
      </c>
      <c r="AR190">
        <v>0</v>
      </c>
      <c r="AS190">
        <v>60.74037071227275</v>
      </c>
      <c r="AT190">
        <v>0</v>
      </c>
      <c r="AU190">
        <v>0</v>
      </c>
      <c r="AV190">
        <v>1.8522013606588856</v>
      </c>
      <c r="AW190">
        <v>1</v>
      </c>
    </row>
    <row r="191" spans="1:49" ht="12.75">
      <c r="A191" t="s">
        <v>4</v>
      </c>
      <c r="B191" t="s">
        <v>14</v>
      </c>
      <c r="C191">
        <v>104</v>
      </c>
      <c r="G191">
        <v>0</v>
      </c>
      <c r="H191">
        <v>0</v>
      </c>
      <c r="I191">
        <v>0</v>
      </c>
      <c r="J191">
        <v>0</v>
      </c>
      <c r="K191">
        <v>0</v>
      </c>
      <c r="L191">
        <v>0</v>
      </c>
      <c r="M191">
        <v>0.0009602839265569481</v>
      </c>
      <c r="N191">
        <v>0.3534017458490208</v>
      </c>
      <c r="O191">
        <v>0</v>
      </c>
      <c r="P191">
        <v>0</v>
      </c>
      <c r="Q191">
        <v>0</v>
      </c>
      <c r="R191">
        <v>0</v>
      </c>
      <c r="S191">
        <v>0</v>
      </c>
      <c r="T191">
        <v>0</v>
      </c>
      <c r="U191">
        <v>0</v>
      </c>
      <c r="V191">
        <v>0.022029797138764413</v>
      </c>
      <c r="W191">
        <v>0.37639182691434214</v>
      </c>
      <c r="X191">
        <v>91.0868221132708</v>
      </c>
      <c r="Z191">
        <v>0</v>
      </c>
      <c r="AA191">
        <v>0</v>
      </c>
      <c r="AB191">
        <v>0</v>
      </c>
      <c r="AC191">
        <v>0</v>
      </c>
      <c r="AD191">
        <v>0</v>
      </c>
      <c r="AE191">
        <v>0</v>
      </c>
      <c r="AF191">
        <v>4.747329551625409E-06</v>
      </c>
      <c r="AG191">
        <v>0.24160368290701512</v>
      </c>
      <c r="AH191">
        <v>0</v>
      </c>
      <c r="AI191">
        <v>0</v>
      </c>
      <c r="AJ191">
        <v>0</v>
      </c>
      <c r="AK191">
        <v>0</v>
      </c>
      <c r="AL191">
        <v>0</v>
      </c>
      <c r="AM191">
        <v>0</v>
      </c>
      <c r="AN191">
        <v>0</v>
      </c>
      <c r="AO191">
        <v>0.0016803123603341278</v>
      </c>
      <c r="AP191">
        <v>0.2432887425969009</v>
      </c>
      <c r="AQ191">
        <v>1.8306727500817876</v>
      </c>
      <c r="AR191">
        <v>0</v>
      </c>
      <c r="AS191">
        <v>166.75016313431203</v>
      </c>
      <c r="AT191">
        <v>0</v>
      </c>
      <c r="AU191">
        <v>0</v>
      </c>
      <c r="AV191">
        <v>1.8306727500817876</v>
      </c>
      <c r="AW191">
        <v>1</v>
      </c>
    </row>
    <row r="192" spans="2:49" ht="12.75">
      <c r="B192" t="s">
        <v>7</v>
      </c>
      <c r="C192">
        <v>7</v>
      </c>
      <c r="G192">
        <v>0</v>
      </c>
      <c r="H192">
        <v>0</v>
      </c>
      <c r="I192">
        <v>0</v>
      </c>
      <c r="J192">
        <v>0</v>
      </c>
      <c r="K192">
        <v>0</v>
      </c>
      <c r="L192">
        <v>0</v>
      </c>
      <c r="M192">
        <v>0.0002923502584924113</v>
      </c>
      <c r="N192">
        <v>5.626032496776178E-06</v>
      </c>
      <c r="O192">
        <v>0</v>
      </c>
      <c r="P192">
        <v>0</v>
      </c>
      <c r="Q192">
        <v>0</v>
      </c>
      <c r="R192">
        <v>0</v>
      </c>
      <c r="S192">
        <v>0</v>
      </c>
      <c r="T192">
        <v>0</v>
      </c>
      <c r="U192">
        <v>0</v>
      </c>
      <c r="V192">
        <v>2.817440250044248E-05</v>
      </c>
      <c r="W192">
        <v>0.00032615069348962997</v>
      </c>
      <c r="X192">
        <v>0.07892846782449045</v>
      </c>
      <c r="Z192">
        <v>0</v>
      </c>
      <c r="AA192">
        <v>0</v>
      </c>
      <c r="AB192">
        <v>0</v>
      </c>
      <c r="AC192">
        <v>0</v>
      </c>
      <c r="AD192">
        <v>0</v>
      </c>
      <c r="AE192">
        <v>0</v>
      </c>
      <c r="AF192">
        <v>4.4000440655817334E-07</v>
      </c>
      <c r="AG192">
        <v>6.123089982235408E-11</v>
      </c>
      <c r="AH192">
        <v>0</v>
      </c>
      <c r="AI192">
        <v>0</v>
      </c>
      <c r="AJ192">
        <v>0</v>
      </c>
      <c r="AK192">
        <v>0</v>
      </c>
      <c r="AL192">
        <v>0</v>
      </c>
      <c r="AM192">
        <v>0</v>
      </c>
      <c r="AN192">
        <v>0</v>
      </c>
      <c r="AO192">
        <v>2.7483906058399283E-09</v>
      </c>
      <c r="AP192">
        <v>4.428140280638356E-07</v>
      </c>
      <c r="AQ192">
        <v>606.8942230071663</v>
      </c>
      <c r="AR192">
        <v>1</v>
      </c>
      <c r="AS192">
        <v>47.90123115349025</v>
      </c>
      <c r="AT192">
        <v>0.07892846782449045</v>
      </c>
      <c r="AU192">
        <v>7</v>
      </c>
      <c r="AV192">
        <v>0</v>
      </c>
      <c r="AW192">
        <v>0</v>
      </c>
    </row>
    <row r="193" spans="2:49" ht="12.75">
      <c r="B193" t="s">
        <v>15</v>
      </c>
      <c r="C193">
        <v>3</v>
      </c>
      <c r="G193">
        <v>0</v>
      </c>
      <c r="H193">
        <v>0</v>
      </c>
      <c r="I193">
        <v>0</v>
      </c>
      <c r="J193">
        <v>0</v>
      </c>
      <c r="K193">
        <v>0</v>
      </c>
      <c r="L193">
        <v>0</v>
      </c>
      <c r="M193">
        <v>2.1140650368375424E-06</v>
      </c>
      <c r="N193">
        <v>0.0007780139333743762</v>
      </c>
      <c r="O193">
        <v>0</v>
      </c>
      <c r="P193">
        <v>0</v>
      </c>
      <c r="Q193">
        <v>0</v>
      </c>
      <c r="R193">
        <v>0</v>
      </c>
      <c r="S193">
        <v>0</v>
      </c>
      <c r="T193">
        <v>0</v>
      </c>
      <c r="U193">
        <v>0</v>
      </c>
      <c r="V193">
        <v>0.0038961875393365973</v>
      </c>
      <c r="W193">
        <v>0.004676315537747811</v>
      </c>
      <c r="X193">
        <v>1.1316683601349702</v>
      </c>
      <c r="Z193">
        <v>0</v>
      </c>
      <c r="AA193">
        <v>0</v>
      </c>
      <c r="AB193">
        <v>0</v>
      </c>
      <c r="AC193">
        <v>0</v>
      </c>
      <c r="AD193">
        <v>0</v>
      </c>
      <c r="AE193">
        <v>0</v>
      </c>
      <c r="AF193">
        <v>2.3008417488294975E-11</v>
      </c>
      <c r="AG193">
        <v>1.1709569227463795E-06</v>
      </c>
      <c r="AH193">
        <v>0</v>
      </c>
      <c r="AI193">
        <v>0</v>
      </c>
      <c r="AJ193">
        <v>0</v>
      </c>
      <c r="AK193">
        <v>0</v>
      </c>
      <c r="AL193">
        <v>0</v>
      </c>
      <c r="AM193">
        <v>0</v>
      </c>
      <c r="AN193">
        <v>0</v>
      </c>
      <c r="AO193">
        <v>5.2559198307656865E-05</v>
      </c>
      <c r="AP193">
        <v>5.373017823882073E-05</v>
      </c>
      <c r="AQ193">
        <v>3.0845283295756647</v>
      </c>
      <c r="AR193">
        <v>1</v>
      </c>
      <c r="AS193">
        <v>3.4906631165207513</v>
      </c>
      <c r="AT193">
        <v>1.1316683601349702</v>
      </c>
      <c r="AU193">
        <v>3</v>
      </c>
      <c r="AV193">
        <v>0</v>
      </c>
      <c r="AW193">
        <v>0</v>
      </c>
    </row>
    <row r="194" spans="2:49" ht="12.75">
      <c r="B194" t="s">
        <v>16</v>
      </c>
      <c r="C194">
        <v>2</v>
      </c>
      <c r="G194">
        <v>0</v>
      </c>
      <c r="H194">
        <v>0</v>
      </c>
      <c r="I194">
        <v>0</v>
      </c>
      <c r="J194">
        <v>0</v>
      </c>
      <c r="K194">
        <v>0</v>
      </c>
      <c r="L194">
        <v>0</v>
      </c>
      <c r="M194">
        <v>0.0016992352381783654</v>
      </c>
      <c r="N194">
        <v>3.270033937701084E-05</v>
      </c>
      <c r="O194">
        <v>0</v>
      </c>
      <c r="P194">
        <v>0</v>
      </c>
      <c r="Q194">
        <v>0</v>
      </c>
      <c r="R194">
        <v>0</v>
      </c>
      <c r="S194">
        <v>0</v>
      </c>
      <c r="T194">
        <v>0</v>
      </c>
      <c r="U194">
        <v>0</v>
      </c>
      <c r="V194">
        <v>0.00016375883431830527</v>
      </c>
      <c r="W194">
        <v>0.0018956944118736813</v>
      </c>
      <c r="X194">
        <v>0.45875804767343087</v>
      </c>
      <c r="Z194">
        <v>0</v>
      </c>
      <c r="AA194">
        <v>0</v>
      </c>
      <c r="AB194">
        <v>0</v>
      </c>
      <c r="AC194">
        <v>0</v>
      </c>
      <c r="AD194">
        <v>0</v>
      </c>
      <c r="AE194">
        <v>0</v>
      </c>
      <c r="AF194">
        <v>1.4864731638331173E-05</v>
      </c>
      <c r="AG194">
        <v>2.0685722239749837E-09</v>
      </c>
      <c r="AH194">
        <v>0</v>
      </c>
      <c r="AI194">
        <v>0</v>
      </c>
      <c r="AJ194">
        <v>0</v>
      </c>
      <c r="AK194">
        <v>0</v>
      </c>
      <c r="AL194">
        <v>0</v>
      </c>
      <c r="AM194">
        <v>0</v>
      </c>
      <c r="AN194">
        <v>0</v>
      </c>
      <c r="AO194">
        <v>9.28492719259156E-08</v>
      </c>
      <c r="AP194">
        <v>1.4959649482481063E-05</v>
      </c>
      <c r="AQ194">
        <v>5.1779511392950495</v>
      </c>
      <c r="AR194">
        <v>1</v>
      </c>
      <c r="AS194">
        <v>2.375426755611414</v>
      </c>
      <c r="AT194">
        <v>0.45875804767343087</v>
      </c>
      <c r="AU194">
        <v>2</v>
      </c>
      <c r="AV194">
        <v>0</v>
      </c>
      <c r="AW194">
        <v>0</v>
      </c>
    </row>
    <row r="195" spans="2:49" ht="12.75">
      <c r="B195" t="s">
        <v>17</v>
      </c>
      <c r="C195">
        <v>2</v>
      </c>
      <c r="G195">
        <v>0</v>
      </c>
      <c r="H195">
        <v>0</v>
      </c>
      <c r="I195">
        <v>0</v>
      </c>
      <c r="J195">
        <v>0</v>
      </c>
      <c r="K195">
        <v>0</v>
      </c>
      <c r="L195">
        <v>0</v>
      </c>
      <c r="M195">
        <v>1.2287636839864275E-05</v>
      </c>
      <c r="N195">
        <v>0.004522071224430991</v>
      </c>
      <c r="O195">
        <v>0</v>
      </c>
      <c r="P195">
        <v>0</v>
      </c>
      <c r="Q195">
        <v>0</v>
      </c>
      <c r="R195">
        <v>0</v>
      </c>
      <c r="S195">
        <v>0</v>
      </c>
      <c r="T195">
        <v>0</v>
      </c>
      <c r="U195">
        <v>0</v>
      </c>
      <c r="V195">
        <v>0.022645915196151795</v>
      </c>
      <c r="W195">
        <v>0.02718027405742265</v>
      </c>
      <c r="X195">
        <v>6.577626321896282</v>
      </c>
      <c r="Z195">
        <v>0</v>
      </c>
      <c r="AA195">
        <v>0</v>
      </c>
      <c r="AB195">
        <v>0</v>
      </c>
      <c r="AC195">
        <v>0</v>
      </c>
      <c r="AD195">
        <v>0</v>
      </c>
      <c r="AE195">
        <v>0</v>
      </c>
      <c r="AF195">
        <v>7.772966504165517E-10</v>
      </c>
      <c r="AG195">
        <v>3.955860477131328E-05</v>
      </c>
      <c r="AH195">
        <v>0</v>
      </c>
      <c r="AI195">
        <v>0</v>
      </c>
      <c r="AJ195">
        <v>0</v>
      </c>
      <c r="AK195">
        <v>0</v>
      </c>
      <c r="AL195">
        <v>0</v>
      </c>
      <c r="AM195">
        <v>0</v>
      </c>
      <c r="AN195">
        <v>0</v>
      </c>
      <c r="AO195">
        <v>0.0017756148945882338</v>
      </c>
      <c r="AP195">
        <v>0.0018151742766561974</v>
      </c>
      <c r="AQ195">
        <v>3.185748432251561</v>
      </c>
      <c r="AR195">
        <v>0</v>
      </c>
      <c r="AS195">
        <v>20.95466274291768</v>
      </c>
      <c r="AT195">
        <v>0</v>
      </c>
      <c r="AU195">
        <v>0</v>
      </c>
      <c r="AV195">
        <v>3.185748432251561</v>
      </c>
      <c r="AW195">
        <v>1</v>
      </c>
    </row>
    <row r="196" spans="2:49" ht="12.75">
      <c r="B196" t="s">
        <v>18</v>
      </c>
      <c r="C196">
        <v>2</v>
      </c>
      <c r="G196">
        <v>0</v>
      </c>
      <c r="H196">
        <v>0</v>
      </c>
      <c r="I196">
        <v>0</v>
      </c>
      <c r="J196">
        <v>0</v>
      </c>
      <c r="K196">
        <v>0</v>
      </c>
      <c r="L196">
        <v>0</v>
      </c>
      <c r="M196">
        <v>0.002549056366340918</v>
      </c>
      <c r="N196">
        <v>4.905442542483835E-05</v>
      </c>
      <c r="O196">
        <v>0</v>
      </c>
      <c r="P196">
        <v>0</v>
      </c>
      <c r="Q196">
        <v>0</v>
      </c>
      <c r="R196">
        <v>0</v>
      </c>
      <c r="S196">
        <v>0</v>
      </c>
      <c r="T196">
        <v>0</v>
      </c>
      <c r="U196">
        <v>0</v>
      </c>
      <c r="V196">
        <v>0.00024565786407015807</v>
      </c>
      <c r="W196">
        <v>0.0028437686558359146</v>
      </c>
      <c r="X196">
        <v>0.6881920147122913</v>
      </c>
      <c r="Z196">
        <v>0</v>
      </c>
      <c r="AA196">
        <v>0</v>
      </c>
      <c r="AB196">
        <v>0</v>
      </c>
      <c r="AC196">
        <v>0</v>
      </c>
      <c r="AD196">
        <v>0</v>
      </c>
      <c r="AE196">
        <v>0</v>
      </c>
      <c r="AF196">
        <v>3.34509872275461E-05</v>
      </c>
      <c r="AG196">
        <v>4.655030761874704E-09</v>
      </c>
      <c r="AH196">
        <v>0</v>
      </c>
      <c r="AI196">
        <v>0</v>
      </c>
      <c r="AJ196">
        <v>0</v>
      </c>
      <c r="AK196">
        <v>0</v>
      </c>
      <c r="AL196">
        <v>0</v>
      </c>
      <c r="AM196">
        <v>0</v>
      </c>
      <c r="AN196">
        <v>0</v>
      </c>
      <c r="AO196">
        <v>2.089442234713258E-07</v>
      </c>
      <c r="AP196">
        <v>3.3664586481779294E-05</v>
      </c>
      <c r="AQ196">
        <v>2.5005233328434064</v>
      </c>
      <c r="AR196">
        <v>1</v>
      </c>
      <c r="AS196">
        <v>1.7208401902645973</v>
      </c>
      <c r="AT196">
        <v>0.6881920147122913</v>
      </c>
      <c r="AU196">
        <v>2</v>
      </c>
      <c r="AV196">
        <v>0</v>
      </c>
      <c r="AW196">
        <v>0</v>
      </c>
    </row>
    <row r="197" spans="2:49" ht="12.75">
      <c r="B197" t="s">
        <v>19</v>
      </c>
      <c r="C197">
        <v>5</v>
      </c>
      <c r="G197">
        <v>0</v>
      </c>
      <c r="H197">
        <v>0</v>
      </c>
      <c r="I197">
        <v>0</v>
      </c>
      <c r="J197">
        <v>0</v>
      </c>
      <c r="K197">
        <v>0</v>
      </c>
      <c r="L197">
        <v>0</v>
      </c>
      <c r="M197">
        <v>1.8432926889816197E-05</v>
      </c>
      <c r="N197">
        <v>0.00678364842294597</v>
      </c>
      <c r="O197">
        <v>0</v>
      </c>
      <c r="P197">
        <v>0</v>
      </c>
      <c r="Q197">
        <v>0</v>
      </c>
      <c r="R197">
        <v>0</v>
      </c>
      <c r="S197">
        <v>0</v>
      </c>
      <c r="T197">
        <v>0</v>
      </c>
      <c r="U197">
        <v>0</v>
      </c>
      <c r="V197">
        <v>0.03397158498446106</v>
      </c>
      <c r="W197">
        <v>0.04077366633429685</v>
      </c>
      <c r="X197">
        <v>9.867227252899838</v>
      </c>
      <c r="Z197">
        <v>0</v>
      </c>
      <c r="AA197">
        <v>0</v>
      </c>
      <c r="AB197">
        <v>0</v>
      </c>
      <c r="AC197">
        <v>0</v>
      </c>
      <c r="AD197">
        <v>0</v>
      </c>
      <c r="AE197">
        <v>0</v>
      </c>
      <c r="AF197">
        <v>1.7491967536130725E-09</v>
      </c>
      <c r="AG197">
        <v>8.902107452330064E-05</v>
      </c>
      <c r="AH197">
        <v>0</v>
      </c>
      <c r="AI197">
        <v>0</v>
      </c>
      <c r="AJ197">
        <v>0</v>
      </c>
      <c r="AK197">
        <v>0</v>
      </c>
      <c r="AL197">
        <v>0</v>
      </c>
      <c r="AM197">
        <v>0</v>
      </c>
      <c r="AN197">
        <v>0</v>
      </c>
      <c r="AO197">
        <v>0.0039957715083633934</v>
      </c>
      <c r="AP197">
        <v>0.004084794332083448</v>
      </c>
      <c r="AQ197">
        <v>2.4008670849664253</v>
      </c>
      <c r="AR197">
        <v>0</v>
      </c>
      <c r="AS197">
        <v>23.689901131370902</v>
      </c>
      <c r="AT197">
        <v>0</v>
      </c>
      <c r="AU197">
        <v>0</v>
      </c>
      <c r="AV197">
        <v>2.4008670849664253</v>
      </c>
      <c r="AW197">
        <v>1</v>
      </c>
    </row>
    <row r="198" spans="2:49" ht="12.75">
      <c r="B198" t="s">
        <v>20</v>
      </c>
      <c r="C198">
        <v>2</v>
      </c>
      <c r="G198">
        <v>0</v>
      </c>
      <c r="H198">
        <v>0</v>
      </c>
      <c r="I198">
        <v>0</v>
      </c>
      <c r="J198">
        <v>0</v>
      </c>
      <c r="K198">
        <v>0</v>
      </c>
      <c r="L198">
        <v>0</v>
      </c>
      <c r="M198">
        <v>0.014815948595789672</v>
      </c>
      <c r="N198">
        <v>0.0002851203508432737</v>
      </c>
      <c r="O198">
        <v>0</v>
      </c>
      <c r="P198">
        <v>0</v>
      </c>
      <c r="Q198">
        <v>0</v>
      </c>
      <c r="R198">
        <v>0</v>
      </c>
      <c r="S198">
        <v>0</v>
      </c>
      <c r="T198">
        <v>0</v>
      </c>
      <c r="U198">
        <v>0</v>
      </c>
      <c r="V198">
        <v>0.001427843783399559</v>
      </c>
      <c r="W198">
        <v>0.016528912730032506</v>
      </c>
      <c r="X198">
        <v>3.9999968806678665</v>
      </c>
      <c r="Z198">
        <v>0</v>
      </c>
      <c r="AA198">
        <v>0</v>
      </c>
      <c r="AB198">
        <v>0</v>
      </c>
      <c r="AC198">
        <v>0</v>
      </c>
      <c r="AD198">
        <v>0</v>
      </c>
      <c r="AE198">
        <v>0</v>
      </c>
      <c r="AF198">
        <v>0.0011300794736676708</v>
      </c>
      <c r="AG198">
        <v>1.572615683208967E-07</v>
      </c>
      <c r="AH198">
        <v>0</v>
      </c>
      <c r="AI198">
        <v>0</v>
      </c>
      <c r="AJ198">
        <v>0</v>
      </c>
      <c r="AK198">
        <v>0</v>
      </c>
      <c r="AL198">
        <v>0</v>
      </c>
      <c r="AM198">
        <v>0</v>
      </c>
      <c r="AN198">
        <v>0</v>
      </c>
      <c r="AO198">
        <v>7.058792509774837E-06</v>
      </c>
      <c r="AP198">
        <v>0.0011372955277457665</v>
      </c>
      <c r="AQ198">
        <v>0.9999976605015081</v>
      </c>
      <c r="AR198">
        <v>1</v>
      </c>
      <c r="AS198">
        <v>3.9999875226811965</v>
      </c>
      <c r="AT198">
        <v>3.9999968806678665</v>
      </c>
      <c r="AU198">
        <v>2</v>
      </c>
      <c r="AV198">
        <v>0</v>
      </c>
      <c r="AW198">
        <v>0</v>
      </c>
    </row>
    <row r="199" spans="2:49" ht="12.75">
      <c r="B199" t="s">
        <v>21</v>
      </c>
      <c r="C199">
        <v>62</v>
      </c>
      <c r="G199">
        <v>0</v>
      </c>
      <c r="H199">
        <v>0</v>
      </c>
      <c r="I199">
        <v>0</v>
      </c>
      <c r="J199">
        <v>0</v>
      </c>
      <c r="K199">
        <v>0</v>
      </c>
      <c r="L199">
        <v>0</v>
      </c>
      <c r="M199">
        <v>0.00010713819469653132</v>
      </c>
      <c r="N199">
        <v>0.0394287814319894</v>
      </c>
      <c r="O199">
        <v>0</v>
      </c>
      <c r="P199">
        <v>0</v>
      </c>
      <c r="Q199">
        <v>0</v>
      </c>
      <c r="R199">
        <v>0</v>
      </c>
      <c r="S199">
        <v>0</v>
      </c>
      <c r="T199">
        <v>0</v>
      </c>
      <c r="U199">
        <v>0</v>
      </c>
      <c r="V199">
        <v>0.19745395335050026</v>
      </c>
      <c r="W199">
        <v>0.23698987297718618</v>
      </c>
      <c r="X199">
        <v>57.351549260479054</v>
      </c>
      <c r="Z199">
        <v>0</v>
      </c>
      <c r="AA199">
        <v>0</v>
      </c>
      <c r="AB199">
        <v>0</v>
      </c>
      <c r="AC199">
        <v>0</v>
      </c>
      <c r="AD199">
        <v>0</v>
      </c>
      <c r="AE199">
        <v>0</v>
      </c>
      <c r="AF199">
        <v>5.909336346989689E-08</v>
      </c>
      <c r="AG199">
        <v>0.0030074116604779802</v>
      </c>
      <c r="AH199">
        <v>0</v>
      </c>
      <c r="AI199">
        <v>0</v>
      </c>
      <c r="AJ199">
        <v>0</v>
      </c>
      <c r="AK199">
        <v>0</v>
      </c>
      <c r="AL199">
        <v>0</v>
      </c>
      <c r="AM199">
        <v>0</v>
      </c>
      <c r="AN199">
        <v>0</v>
      </c>
      <c r="AO199">
        <v>0.13498971890877828</v>
      </c>
      <c r="AP199">
        <v>0.13799718966261973</v>
      </c>
      <c r="AQ199">
        <v>0.37676565945260293</v>
      </c>
      <c r="AR199">
        <v>0</v>
      </c>
      <c r="AS199">
        <v>21.608094277752834</v>
      </c>
      <c r="AT199">
        <v>0</v>
      </c>
      <c r="AU199">
        <v>0</v>
      </c>
      <c r="AV199">
        <v>0.37676565945260293</v>
      </c>
      <c r="AW199">
        <v>1</v>
      </c>
    </row>
    <row r="200" spans="3:49" ht="12.75">
      <c r="C200">
        <v>242</v>
      </c>
      <c r="D200">
        <v>0</v>
      </c>
      <c r="E200">
        <v>0</v>
      </c>
      <c r="F200">
        <v>0</v>
      </c>
      <c r="G200">
        <v>0</v>
      </c>
      <c r="H200">
        <v>0</v>
      </c>
      <c r="I200">
        <v>0</v>
      </c>
      <c r="J200">
        <v>0</v>
      </c>
      <c r="K200">
        <v>0</v>
      </c>
      <c r="L200">
        <v>0</v>
      </c>
      <c r="M200">
        <v>0.19424504020115954</v>
      </c>
      <c r="N200">
        <v>0.5169324923627212</v>
      </c>
      <c r="O200">
        <v>0</v>
      </c>
      <c r="P200">
        <v>0</v>
      </c>
      <c r="Q200">
        <v>0</v>
      </c>
      <c r="R200">
        <v>0</v>
      </c>
      <c r="S200">
        <v>0</v>
      </c>
      <c r="T200">
        <v>0</v>
      </c>
      <c r="U200">
        <v>0</v>
      </c>
      <c r="V200">
        <v>0.28882246743611945</v>
      </c>
      <c r="W200">
        <v>1</v>
      </c>
      <c r="X200">
        <v>242</v>
      </c>
      <c r="Z200">
        <v>0</v>
      </c>
      <c r="AA200">
        <v>0</v>
      </c>
      <c r="AB200">
        <v>0</v>
      </c>
      <c r="AC200">
        <v>0</v>
      </c>
      <c r="AD200">
        <v>0</v>
      </c>
      <c r="AE200">
        <v>0</v>
      </c>
      <c r="AF200">
        <v>0.09588685518401056</v>
      </c>
      <c r="AG200">
        <v>0.25517784641380004</v>
      </c>
      <c r="AH200">
        <v>0</v>
      </c>
      <c r="AI200">
        <v>0</v>
      </c>
      <c r="AJ200">
        <v>0</v>
      </c>
      <c r="AK200">
        <v>0</v>
      </c>
      <c r="AL200">
        <v>0</v>
      </c>
      <c r="AM200">
        <v>0</v>
      </c>
      <c r="AN200">
        <v>0</v>
      </c>
      <c r="AO200">
        <v>0.1425739266251313</v>
      </c>
      <c r="AP200">
        <v>0.493638628222942</v>
      </c>
      <c r="AQ200">
        <v>638.8724795569802</v>
      </c>
      <c r="AR200">
        <v>8</v>
      </c>
      <c r="AT200">
        <v>12.563055029951089</v>
      </c>
      <c r="AU200">
        <v>20</v>
      </c>
      <c r="AV200">
        <v>15.005944880049931</v>
      </c>
      <c r="AW200">
        <v>8</v>
      </c>
    </row>
    <row r="201" spans="43:48" ht="12.75">
      <c r="AQ201" t="s">
        <v>38</v>
      </c>
      <c r="AU201">
        <v>4.402444338234434</v>
      </c>
      <c r="AV201" s="41">
        <v>19.408389218284366</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BH100"/>
  <sheetViews>
    <sheetView workbookViewId="0" topLeftCell="A1">
      <selection activeCell="AX82" sqref="AX82:AY85"/>
    </sheetView>
  </sheetViews>
  <sheetFormatPr defaultColWidth="11.00390625" defaultRowHeight="12"/>
  <cols>
    <col min="2" max="3" width="6.875" style="0" customWidth="1"/>
    <col min="4" max="4" width="4.375" style="0" customWidth="1"/>
    <col min="5" max="5" width="4.00390625" style="0" customWidth="1"/>
    <col min="6" max="6" width="3.375" style="0" customWidth="1"/>
    <col min="7" max="24" width="6.625" style="0" customWidth="1"/>
    <col min="25" max="25" width="4.50390625" style="0" customWidth="1"/>
    <col min="26" max="49" width="6.625" style="0" customWidth="1"/>
    <col min="54" max="54" width="5.125" style="0" bestFit="1" customWidth="1"/>
    <col min="55" max="55" width="4.125" style="0" bestFit="1" customWidth="1"/>
    <col min="56" max="56" width="5.625" style="0" bestFit="1" customWidth="1"/>
    <col min="57" max="60" width="3.125" style="0" bestFit="1" customWidth="1"/>
  </cols>
  <sheetData>
    <row r="1" ht="12.75">
      <c r="A1" s="10" t="s">
        <v>76</v>
      </c>
    </row>
    <row r="3" ht="12.75">
      <c r="D3" t="s">
        <v>3</v>
      </c>
    </row>
    <row r="5" ht="12.75">
      <c r="D5" t="s">
        <v>50</v>
      </c>
    </row>
    <row r="6" ht="12.75">
      <c r="D6" t="s">
        <v>36</v>
      </c>
    </row>
    <row r="7" spans="1:49" ht="12.75">
      <c r="A7" t="s">
        <v>35</v>
      </c>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row>
    <row r="9" ht="12.75">
      <c r="E9" t="s">
        <v>49</v>
      </c>
    </row>
    <row r="10" spans="2:3" ht="12.75">
      <c r="B10" t="s">
        <v>98</v>
      </c>
      <c r="C10" s="48">
        <v>0.041687229189393014</v>
      </c>
    </row>
    <row r="11" spans="2:26" ht="12.75">
      <c r="B11" t="s">
        <v>99</v>
      </c>
      <c r="C11" s="48">
        <v>0.20606272282494703</v>
      </c>
      <c r="Z11" t="s">
        <v>34</v>
      </c>
    </row>
    <row r="12" spans="2:3" ht="12.75">
      <c r="B12" t="s">
        <v>100</v>
      </c>
      <c r="C12" s="48">
        <v>0.019625836695324996</v>
      </c>
    </row>
    <row r="13" spans="2:42" ht="12.75">
      <c r="B13" t="s">
        <v>5</v>
      </c>
      <c r="C13" s="48">
        <v>0.0800163359065331</v>
      </c>
      <c r="G13" t="s">
        <v>107</v>
      </c>
      <c r="Z13" t="s">
        <v>101</v>
      </c>
      <c r="AP13" t="s">
        <v>108</v>
      </c>
    </row>
    <row r="14" spans="23:43" ht="12.75">
      <c r="W14" t="s">
        <v>22</v>
      </c>
      <c r="X14" t="s">
        <v>2</v>
      </c>
      <c r="AP14" t="s">
        <v>22</v>
      </c>
      <c r="AQ14" t="s">
        <v>37</v>
      </c>
    </row>
    <row r="15" spans="7:52" ht="12.75">
      <c r="G15" s="48">
        <v>0.022946015959579145</v>
      </c>
      <c r="H15">
        <v>0</v>
      </c>
      <c r="I15">
        <v>0</v>
      </c>
      <c r="J15">
        <v>0</v>
      </c>
      <c r="K15">
        <v>0</v>
      </c>
      <c r="L15" s="48">
        <v>0.37084078674172055</v>
      </c>
      <c r="M15" s="48">
        <v>0.05737773639296323</v>
      </c>
      <c r="N15" s="48">
        <v>0.4444971113294728</v>
      </c>
      <c r="O15">
        <v>0</v>
      </c>
      <c r="P15">
        <v>0</v>
      </c>
      <c r="Q15">
        <v>0</v>
      </c>
      <c r="R15">
        <v>0</v>
      </c>
      <c r="S15">
        <v>0</v>
      </c>
      <c r="T15">
        <v>0</v>
      </c>
      <c r="U15">
        <v>0</v>
      </c>
      <c r="V15" s="48">
        <v>0.10433834957626413</v>
      </c>
      <c r="W15">
        <v>1</v>
      </c>
      <c r="X15" t="s">
        <v>97</v>
      </c>
      <c r="Z15">
        <v>0.022946015959579145</v>
      </c>
      <c r="AA15">
        <v>0</v>
      </c>
      <c r="AB15">
        <v>0</v>
      </c>
      <c r="AC15">
        <v>0</v>
      </c>
      <c r="AD15">
        <v>0</v>
      </c>
      <c r="AE15">
        <v>0.37084078674172055</v>
      </c>
      <c r="AF15">
        <v>0.05737773639296323</v>
      </c>
      <c r="AG15">
        <v>0.4444971113294728</v>
      </c>
      <c r="AH15">
        <v>0</v>
      </c>
      <c r="AI15">
        <v>0</v>
      </c>
      <c r="AJ15">
        <v>0</v>
      </c>
      <c r="AK15">
        <v>0</v>
      </c>
      <c r="AL15">
        <v>0</v>
      </c>
      <c r="AM15">
        <v>0</v>
      </c>
      <c r="AN15">
        <v>0</v>
      </c>
      <c r="AO15">
        <v>0.10433834957626413</v>
      </c>
      <c r="AP15">
        <v>1</v>
      </c>
      <c r="AX15" s="53" t="s">
        <v>90</v>
      </c>
      <c r="AY15" s="53" t="s">
        <v>91</v>
      </c>
      <c r="AZ15" s="53"/>
    </row>
    <row r="16" spans="2:52" ht="12.75">
      <c r="B16" t="s">
        <v>1</v>
      </c>
      <c r="C16" t="s">
        <v>102</v>
      </c>
      <c r="D16" t="s">
        <v>103</v>
      </c>
      <c r="E16" t="s">
        <v>104</v>
      </c>
      <c r="F16" t="s">
        <v>105</v>
      </c>
      <c r="G16" t="s">
        <v>6</v>
      </c>
      <c r="H16" t="s">
        <v>8</v>
      </c>
      <c r="I16" t="s">
        <v>9</v>
      </c>
      <c r="J16" t="s">
        <v>10</v>
      </c>
      <c r="K16" t="s">
        <v>11</v>
      </c>
      <c r="L16" t="s">
        <v>12</v>
      </c>
      <c r="M16" t="s">
        <v>13</v>
      </c>
      <c r="N16" t="s">
        <v>14</v>
      </c>
      <c r="O16" t="s">
        <v>7</v>
      </c>
      <c r="P16" t="s">
        <v>15</v>
      </c>
      <c r="Q16" t="s">
        <v>16</v>
      </c>
      <c r="R16" t="s">
        <v>17</v>
      </c>
      <c r="S16" t="s">
        <v>18</v>
      </c>
      <c r="T16" t="s">
        <v>19</v>
      </c>
      <c r="U16" t="s">
        <v>20</v>
      </c>
      <c r="V16" t="s">
        <v>21</v>
      </c>
      <c r="Z16" t="s">
        <v>6</v>
      </c>
      <c r="AA16" t="s">
        <v>8</v>
      </c>
      <c r="AB16" t="s">
        <v>9</v>
      </c>
      <c r="AC16" t="s">
        <v>10</v>
      </c>
      <c r="AD16" t="s">
        <v>11</v>
      </c>
      <c r="AE16" t="s">
        <v>12</v>
      </c>
      <c r="AF16" t="s">
        <v>13</v>
      </c>
      <c r="AG16" t="s">
        <v>14</v>
      </c>
      <c r="AH16" t="s">
        <v>7</v>
      </c>
      <c r="AI16" t="s">
        <v>15</v>
      </c>
      <c r="AJ16" t="s">
        <v>16</v>
      </c>
      <c r="AK16" t="s">
        <v>17</v>
      </c>
      <c r="AL16" t="s">
        <v>18</v>
      </c>
      <c r="AM16" t="s">
        <v>19</v>
      </c>
      <c r="AN16" t="s">
        <v>20</v>
      </c>
      <c r="AO16" t="s">
        <v>21</v>
      </c>
      <c r="AR16" t="s">
        <v>65</v>
      </c>
      <c r="AS16" t="s">
        <v>59</v>
      </c>
      <c r="AT16" t="s">
        <v>60</v>
      </c>
      <c r="AU16" t="s">
        <v>62</v>
      </c>
      <c r="AW16" t="s">
        <v>63</v>
      </c>
      <c r="AX16" s="53"/>
      <c r="AY16" s="53"/>
      <c r="AZ16" s="53"/>
    </row>
    <row r="17" spans="2:52" ht="12.75">
      <c r="B17" s="16" t="s">
        <v>6</v>
      </c>
      <c r="C17" s="16">
        <v>2</v>
      </c>
      <c r="D17" s="16"/>
      <c r="E17" s="16"/>
      <c r="F17" s="16"/>
      <c r="G17" s="16">
        <v>0.015746090156823104</v>
      </c>
      <c r="H17" s="16">
        <v>0</v>
      </c>
      <c r="I17" s="16">
        <v>0</v>
      </c>
      <c r="J17" s="16">
        <v>0</v>
      </c>
      <c r="K17" s="16">
        <v>0</v>
      </c>
      <c r="L17" s="16">
        <v>0.00022160778547329298</v>
      </c>
      <c r="M17" s="16">
        <v>0.0004445471682402202</v>
      </c>
      <c r="N17" s="16">
        <v>6.894133732550423E-05</v>
      </c>
      <c r="O17" s="16">
        <v>0</v>
      </c>
      <c r="P17" s="16">
        <v>0</v>
      </c>
      <c r="Q17" s="16">
        <v>0</v>
      </c>
      <c r="R17" s="16">
        <v>0</v>
      </c>
      <c r="S17" s="16">
        <v>0</v>
      </c>
      <c r="T17" s="16">
        <v>0</v>
      </c>
      <c r="U17" s="16">
        <v>0</v>
      </c>
      <c r="V17" s="16">
        <v>1.4075157654199411E-06</v>
      </c>
      <c r="W17" s="16">
        <v>0.01648259396362754</v>
      </c>
      <c r="X17" s="16">
        <v>3.9887877391978646</v>
      </c>
      <c r="Y17" s="16"/>
      <c r="Z17" s="16">
        <v>0.010805333512517477</v>
      </c>
      <c r="AA17" s="16">
        <v>0</v>
      </c>
      <c r="AB17" s="16">
        <v>0</v>
      </c>
      <c r="AC17" s="16">
        <v>0</v>
      </c>
      <c r="AD17" s="16">
        <v>0</v>
      </c>
      <c r="AE17" s="16">
        <v>1.3242882751346521E-07</v>
      </c>
      <c r="AF17" s="16">
        <v>3.4442311114705267E-06</v>
      </c>
      <c r="AG17" s="16">
        <v>1.0692775883319484E-08</v>
      </c>
      <c r="AH17" s="16">
        <v>0</v>
      </c>
      <c r="AI17" s="16">
        <v>0</v>
      </c>
      <c r="AJ17" s="16">
        <v>0</v>
      </c>
      <c r="AK17" s="16">
        <v>0</v>
      </c>
      <c r="AL17" s="16">
        <v>0</v>
      </c>
      <c r="AM17" s="16">
        <v>0</v>
      </c>
      <c r="AN17" s="16">
        <v>0</v>
      </c>
      <c r="AO17" s="16">
        <v>1.898727206201048E-11</v>
      </c>
      <c r="AP17" s="16">
        <v>0.010808920884219616</v>
      </c>
      <c r="AQ17" s="16">
        <v>0.9915986836589981</v>
      </c>
      <c r="AR17" s="16">
        <v>1</v>
      </c>
      <c r="AS17" s="16">
        <v>3.9552766715837535</v>
      </c>
      <c r="AT17" s="16">
        <v>3.9887877391978646</v>
      </c>
      <c r="AU17" s="16">
        <v>2</v>
      </c>
      <c r="AV17" s="16">
        <v>0</v>
      </c>
      <c r="AW17" s="16">
        <v>0</v>
      </c>
      <c r="AX17" s="53">
        <f>100*(C21+C22+C23+C24+C29+C30+C31+C32)/C33</f>
        <v>93.80165289256199</v>
      </c>
      <c r="AY17" s="53">
        <f>100*(X21+X22+X23+X24+X29+X30+X31+X32)/X33</f>
        <v>93.72798665036085</v>
      </c>
      <c r="AZ17" s="53" t="s">
        <v>93</v>
      </c>
    </row>
    <row r="18" spans="2:52" ht="12.75">
      <c r="B18" s="16" t="s">
        <v>8</v>
      </c>
      <c r="C18" s="16">
        <v>4</v>
      </c>
      <c r="D18" s="16"/>
      <c r="E18" s="16"/>
      <c r="F18" s="16"/>
      <c r="G18" s="16">
        <v>0.00031521658319308036</v>
      </c>
      <c r="H18" s="16">
        <v>0</v>
      </c>
      <c r="I18" s="16">
        <v>0</v>
      </c>
      <c r="J18" s="16">
        <v>0</v>
      </c>
      <c r="K18" s="16">
        <v>0</v>
      </c>
      <c r="L18" s="16">
        <v>0.011070027262426674</v>
      </c>
      <c r="M18" s="16">
        <v>8.8992656618393E-06</v>
      </c>
      <c r="N18" s="16">
        <v>0.0034438432840774905</v>
      </c>
      <c r="O18" s="16">
        <v>0</v>
      </c>
      <c r="P18" s="16">
        <v>0</v>
      </c>
      <c r="Q18" s="16">
        <v>0</v>
      </c>
      <c r="R18" s="16">
        <v>0</v>
      </c>
      <c r="S18" s="16">
        <v>0</v>
      </c>
      <c r="T18" s="16">
        <v>0</v>
      </c>
      <c r="U18" s="16">
        <v>0</v>
      </c>
      <c r="V18" s="16">
        <v>7.030997517626413E-05</v>
      </c>
      <c r="W18" s="16">
        <v>0.014908296370535349</v>
      </c>
      <c r="X18" s="16">
        <v>3.6078077216695545</v>
      </c>
      <c r="Y18" s="16"/>
      <c r="Z18" s="16">
        <v>4.330228589353013E-06</v>
      </c>
      <c r="AA18" s="16">
        <v>0</v>
      </c>
      <c r="AB18" s="16">
        <v>0</v>
      </c>
      <c r="AC18" s="16">
        <v>0</v>
      </c>
      <c r="AD18" s="16">
        <v>0</v>
      </c>
      <c r="AE18" s="16">
        <v>0.0003304531431603802</v>
      </c>
      <c r="AF18" s="16">
        <v>1.3802728078639359E-09</v>
      </c>
      <c r="AG18" s="16">
        <v>2.6681965445878124E-05</v>
      </c>
      <c r="AH18" s="16">
        <v>0</v>
      </c>
      <c r="AI18" s="16">
        <v>0</v>
      </c>
      <c r="AJ18" s="16">
        <v>0</v>
      </c>
      <c r="AK18" s="16">
        <v>0</v>
      </c>
      <c r="AL18" s="16">
        <v>0</v>
      </c>
      <c r="AM18" s="16">
        <v>0</v>
      </c>
      <c r="AN18" s="16">
        <v>0</v>
      </c>
      <c r="AO18" s="16">
        <v>4.737944034349064E-08</v>
      </c>
      <c r="AP18" s="16">
        <v>0.0003615140969087627</v>
      </c>
      <c r="AQ18" s="16">
        <v>0.04263386384428659</v>
      </c>
      <c r="AR18" s="16">
        <v>1</v>
      </c>
      <c r="AS18" s="16">
        <v>0.1538147831820256</v>
      </c>
      <c r="AT18" s="16">
        <v>3.6078077216695545</v>
      </c>
      <c r="AU18" s="16">
        <v>4</v>
      </c>
      <c r="AV18" s="16">
        <v>0</v>
      </c>
      <c r="AW18" s="16">
        <v>0</v>
      </c>
      <c r="AX18" s="53">
        <f>100*(C19+C20+C23+C24+C27+C28+C31+C32)/C33</f>
        <v>55.78512396694215</v>
      </c>
      <c r="AY18" s="53">
        <f>100*(X19+X20+X23+X24+X27+X28+X31+X32)/X33</f>
        <v>56.24400360280732</v>
      </c>
      <c r="AZ18" s="53" t="s">
        <v>94</v>
      </c>
    </row>
    <row r="19" spans="2:52" ht="12.75">
      <c r="B19" s="16" t="s">
        <v>9</v>
      </c>
      <c r="C19" s="16">
        <v>1</v>
      </c>
      <c r="D19" s="16"/>
      <c r="E19" s="16"/>
      <c r="F19" s="16"/>
      <c r="G19" s="16">
        <v>0.004086824368679512</v>
      </c>
      <c r="H19" s="16">
        <v>0</v>
      </c>
      <c r="I19" s="16">
        <v>0</v>
      </c>
      <c r="J19" s="16">
        <v>0</v>
      </c>
      <c r="K19" s="16">
        <v>0</v>
      </c>
      <c r="L19" s="16">
        <v>5.7517268664241006E-05</v>
      </c>
      <c r="M19" s="16">
        <v>0.0017127919280594478</v>
      </c>
      <c r="N19" s="16">
        <v>0.0002656234805143085</v>
      </c>
      <c r="O19" s="16">
        <v>0</v>
      </c>
      <c r="P19" s="16">
        <v>0</v>
      </c>
      <c r="Q19" s="16">
        <v>0</v>
      </c>
      <c r="R19" s="16">
        <v>0</v>
      </c>
      <c r="S19" s="16">
        <v>0</v>
      </c>
      <c r="T19" s="16">
        <v>0</v>
      </c>
      <c r="U19" s="16">
        <v>0</v>
      </c>
      <c r="V19" s="16">
        <v>5.423005282366292E-06</v>
      </c>
      <c r="W19" s="16">
        <v>0.0061281800511998755</v>
      </c>
      <c r="X19" s="16">
        <v>1.4830195723903699</v>
      </c>
      <c r="Y19" s="16"/>
      <c r="Z19" s="16">
        <v>0.0007278881636731425</v>
      </c>
      <c r="AA19" s="16">
        <v>0</v>
      </c>
      <c r="AB19" s="16">
        <v>0</v>
      </c>
      <c r="AC19" s="16">
        <v>0</v>
      </c>
      <c r="AD19" s="16">
        <v>0</v>
      </c>
      <c r="AE19" s="16">
        <v>8.920907065431741E-09</v>
      </c>
      <c r="AF19" s="16">
        <v>5.1128824057014956E-05</v>
      </c>
      <c r="AG19" s="16">
        <v>1.5873181535309782E-07</v>
      </c>
      <c r="AH19" s="16">
        <v>0</v>
      </c>
      <c r="AI19" s="16">
        <v>0</v>
      </c>
      <c r="AJ19" s="16">
        <v>0</v>
      </c>
      <c r="AK19" s="16">
        <v>0</v>
      </c>
      <c r="AL19" s="16">
        <v>0</v>
      </c>
      <c r="AM19" s="16">
        <v>0</v>
      </c>
      <c r="AN19" s="16">
        <v>0</v>
      </c>
      <c r="AO19" s="16">
        <v>2.8186171634885565E-10</v>
      </c>
      <c r="AP19" s="16">
        <v>0.0007791849223142925</v>
      </c>
      <c r="AQ19" s="16">
        <v>0.15731950653633245</v>
      </c>
      <c r="AR19" s="16">
        <v>1</v>
      </c>
      <c r="AS19" s="16">
        <v>0.23330790731217574</v>
      </c>
      <c r="AT19" s="16">
        <v>1.4830195723903699</v>
      </c>
      <c r="AU19" s="16">
        <v>1</v>
      </c>
      <c r="AV19" s="16">
        <v>0</v>
      </c>
      <c r="AW19" s="16">
        <v>0</v>
      </c>
      <c r="AX19" s="53">
        <f>100*(C18+C20+C22+C24+C26+C28+C30+C32)/C33</f>
        <v>90.9090909090909</v>
      </c>
      <c r="AY19" s="53">
        <f>100*(X18+X20+X22+X24+X26+X28+X30+X32)/X33</f>
        <v>90.32032526449859</v>
      </c>
      <c r="AZ19" s="53" t="s">
        <v>95</v>
      </c>
    </row>
    <row r="20" spans="2:52" ht="12.75">
      <c r="B20" s="16" t="s">
        <v>10</v>
      </c>
      <c r="C20" s="16">
        <v>2</v>
      </c>
      <c r="D20" s="16"/>
      <c r="E20" s="16"/>
      <c r="F20" s="16"/>
      <c r="G20" s="16">
        <v>8.181299616445765E-05</v>
      </c>
      <c r="H20" s="16">
        <v>0</v>
      </c>
      <c r="I20" s="16">
        <v>0</v>
      </c>
      <c r="J20" s="16">
        <v>0</v>
      </c>
      <c r="K20" s="16">
        <v>0</v>
      </c>
      <c r="L20" s="16">
        <v>0.002873174021452424</v>
      </c>
      <c r="M20" s="16">
        <v>3.4287903467238657E-05</v>
      </c>
      <c r="N20" s="16">
        <v>0.01326875391383045</v>
      </c>
      <c r="O20" s="16">
        <v>0</v>
      </c>
      <c r="P20" s="16">
        <v>0</v>
      </c>
      <c r="Q20" s="16">
        <v>0</v>
      </c>
      <c r="R20" s="16">
        <v>0</v>
      </c>
      <c r="S20" s="16">
        <v>0</v>
      </c>
      <c r="T20" s="16">
        <v>0</v>
      </c>
      <c r="U20" s="16">
        <v>0</v>
      </c>
      <c r="V20" s="16">
        <v>0.0002708966934165476</v>
      </c>
      <c r="W20" s="16">
        <v>0.016528925528331115</v>
      </c>
      <c r="X20" s="16">
        <v>3.9999999778561297</v>
      </c>
      <c r="Y20" s="16"/>
      <c r="Z20" s="16">
        <v>2.917005877271396E-07</v>
      </c>
      <c r="AA20" s="16">
        <v>0</v>
      </c>
      <c r="AB20" s="16">
        <v>0</v>
      </c>
      <c r="AC20" s="16">
        <v>0</v>
      </c>
      <c r="AD20" s="16">
        <v>0</v>
      </c>
      <c r="AE20" s="16">
        <v>2.2260574490956797E-05</v>
      </c>
      <c r="AF20" s="16">
        <v>2.0489834526181466E-08</v>
      </c>
      <c r="AG20" s="16">
        <v>0.00039608768187312425</v>
      </c>
      <c r="AH20" s="16">
        <v>0</v>
      </c>
      <c r="AI20" s="16">
        <v>0</v>
      </c>
      <c r="AJ20" s="16">
        <v>0</v>
      </c>
      <c r="AK20" s="16">
        <v>0</v>
      </c>
      <c r="AL20" s="16">
        <v>0</v>
      </c>
      <c r="AM20" s="16">
        <v>0</v>
      </c>
      <c r="AN20" s="16">
        <v>0</v>
      </c>
      <c r="AO20" s="16">
        <v>7.033369686414256E-07</v>
      </c>
      <c r="AP20" s="16">
        <v>0.0004193637837549758</v>
      </c>
      <c r="AQ20" s="16">
        <v>0.9999999833920973</v>
      </c>
      <c r="AR20" s="16">
        <v>1</v>
      </c>
      <c r="AS20" s="16">
        <v>3.9999999114245193</v>
      </c>
      <c r="AT20" s="16">
        <v>3.9999999778561297</v>
      </c>
      <c r="AU20" s="16">
        <v>2</v>
      </c>
      <c r="AV20" s="16">
        <v>0</v>
      </c>
      <c r="AW20" s="16">
        <v>0</v>
      </c>
      <c r="AX20" s="53">
        <f>100*(C25+C26+C27+C28+C29+C30+C31+C32)/C33</f>
        <v>19.00826446280992</v>
      </c>
      <c r="AY20" s="53">
        <f>100*(X25+X26+X27+X28+X29+X30+X31+X32)/X33</f>
        <v>16.765714062754196</v>
      </c>
      <c r="AZ20" s="53" t="s">
        <v>96</v>
      </c>
    </row>
    <row r="21" spans="2:49" ht="12.75">
      <c r="B21" s="3" t="s">
        <v>11</v>
      </c>
      <c r="C21" s="3">
        <v>4</v>
      </c>
      <c r="D21" s="3"/>
      <c r="E21" s="3"/>
      <c r="F21" s="3"/>
      <c r="G21" s="3">
        <v>0.000684965169199501</v>
      </c>
      <c r="H21" s="3">
        <v>0</v>
      </c>
      <c r="I21" s="3">
        <v>0</v>
      </c>
      <c r="J21" s="3">
        <v>0</v>
      </c>
      <c r="K21" s="3">
        <v>0</v>
      </c>
      <c r="L21" s="3">
        <v>0.005094355635038219</v>
      </c>
      <c r="M21" s="3">
        <v>0.01021932224415363</v>
      </c>
      <c r="N21" s="3">
        <v>0.0015848346191500535</v>
      </c>
      <c r="O21" s="3">
        <v>0</v>
      </c>
      <c r="P21" s="3">
        <v>0</v>
      </c>
      <c r="Q21" s="3">
        <v>0</v>
      </c>
      <c r="R21" s="3">
        <v>0</v>
      </c>
      <c r="S21" s="3">
        <v>0</v>
      </c>
      <c r="T21" s="3">
        <v>0</v>
      </c>
      <c r="U21" s="3">
        <v>0</v>
      </c>
      <c r="V21" s="3">
        <v>3.2356200192417636E-05</v>
      </c>
      <c r="W21" s="3">
        <v>0.017615833867733823</v>
      </c>
      <c r="X21" s="3">
        <v>4.263031795991585</v>
      </c>
      <c r="Y21" s="3"/>
      <c r="Z21" s="3">
        <v>2.0447004126685284E-05</v>
      </c>
      <c r="AA21" s="3">
        <v>0</v>
      </c>
      <c r="AB21" s="3">
        <v>0</v>
      </c>
      <c r="AC21" s="3">
        <v>0</v>
      </c>
      <c r="AD21" s="3">
        <v>0</v>
      </c>
      <c r="AE21" s="3">
        <v>6.998275341897804E-05</v>
      </c>
      <c r="AF21" s="3">
        <v>0.0018201231644032051</v>
      </c>
      <c r="AG21" s="3">
        <v>5.650657126981321E-06</v>
      </c>
      <c r="AH21" s="3">
        <v>0</v>
      </c>
      <c r="AI21" s="3">
        <v>0</v>
      </c>
      <c r="AJ21" s="3">
        <v>0</v>
      </c>
      <c r="AK21" s="3">
        <v>0</v>
      </c>
      <c r="AL21" s="3">
        <v>0</v>
      </c>
      <c r="AM21" s="3">
        <v>0</v>
      </c>
      <c r="AN21" s="3">
        <v>0</v>
      </c>
      <c r="AO21" s="3">
        <v>1.003392995138933E-08</v>
      </c>
      <c r="AP21" s="3">
        <v>0.0019162136130058012</v>
      </c>
      <c r="AQ21" s="3">
        <v>0.01622923051327284</v>
      </c>
      <c r="AR21" s="3">
        <v>0</v>
      </c>
      <c r="AS21" s="3">
        <v>0.06918572570255896</v>
      </c>
      <c r="AT21" s="3">
        <v>0</v>
      </c>
      <c r="AU21" s="3">
        <v>0</v>
      </c>
      <c r="AV21" s="3">
        <v>0.01622923051327284</v>
      </c>
      <c r="AW21" s="3">
        <v>1</v>
      </c>
    </row>
    <row r="22" spans="1:50" ht="12.75">
      <c r="A22" s="15"/>
      <c r="B22" s="16" t="s">
        <v>12</v>
      </c>
      <c r="C22" s="16">
        <v>80</v>
      </c>
      <c r="D22" s="16"/>
      <c r="E22" s="16"/>
      <c r="F22" s="16"/>
      <c r="G22" s="16">
        <v>1.3712126508292447E-05</v>
      </c>
      <c r="H22" s="16">
        <v>0</v>
      </c>
      <c r="I22" s="16">
        <v>0</v>
      </c>
      <c r="J22" s="16">
        <v>0</v>
      </c>
      <c r="K22" s="16">
        <v>0</v>
      </c>
      <c r="L22" s="16">
        <v>0.25447957816069783</v>
      </c>
      <c r="M22" s="16">
        <v>0.00020457775919410022</v>
      </c>
      <c r="N22" s="16">
        <v>0.07916762672827223</v>
      </c>
      <c r="O22" s="16">
        <v>0</v>
      </c>
      <c r="P22" s="16">
        <v>0</v>
      </c>
      <c r="Q22" s="16">
        <v>0</v>
      </c>
      <c r="R22" s="16">
        <v>0</v>
      </c>
      <c r="S22" s="16">
        <v>0</v>
      </c>
      <c r="T22" s="16">
        <v>0</v>
      </c>
      <c r="U22" s="16">
        <v>0</v>
      </c>
      <c r="V22" s="16">
        <v>0.00161629708754869</v>
      </c>
      <c r="W22" s="16">
        <v>0.3354817918622211</v>
      </c>
      <c r="X22" s="16">
        <v>81.18659363065751</v>
      </c>
      <c r="Y22" s="16"/>
      <c r="Z22" s="16">
        <v>8.19412022159445E-09</v>
      </c>
      <c r="AA22" s="16">
        <v>0</v>
      </c>
      <c r="AB22" s="16">
        <v>0</v>
      </c>
      <c r="AC22" s="16">
        <v>0</v>
      </c>
      <c r="AD22" s="16">
        <v>0</v>
      </c>
      <c r="AE22" s="16">
        <v>0.17462980884556806</v>
      </c>
      <c r="AF22" s="16">
        <v>7.294128731438066E-07</v>
      </c>
      <c r="AG22" s="16">
        <v>0.014100233639406937</v>
      </c>
      <c r="AH22" s="16">
        <v>0</v>
      </c>
      <c r="AI22" s="16">
        <v>0</v>
      </c>
      <c r="AJ22" s="16">
        <v>0</v>
      </c>
      <c r="AK22" s="16">
        <v>0</v>
      </c>
      <c r="AL22" s="16">
        <v>0</v>
      </c>
      <c r="AM22" s="16">
        <v>0</v>
      </c>
      <c r="AN22" s="16">
        <v>0</v>
      </c>
      <c r="AO22" s="16">
        <v>2.5037929829519503E-05</v>
      </c>
      <c r="AP22" s="16">
        <v>0.1887558180217979</v>
      </c>
      <c r="AQ22" s="16">
        <v>0.017342819563565096</v>
      </c>
      <c r="AR22" s="16">
        <v>0</v>
      </c>
      <c r="AS22" s="16">
        <v>1.4080044443169766</v>
      </c>
      <c r="AT22" s="16">
        <v>0</v>
      </c>
      <c r="AU22" s="16">
        <v>0</v>
      </c>
      <c r="AV22" s="16">
        <v>0.017342819563565096</v>
      </c>
      <c r="AW22" s="16">
        <v>1</v>
      </c>
      <c r="AX22" s="15"/>
    </row>
    <row r="23" spans="1:50" ht="12.75">
      <c r="A23" s="15"/>
      <c r="B23" s="16" t="s">
        <v>13</v>
      </c>
      <c r="C23" s="16">
        <v>11</v>
      </c>
      <c r="D23" s="16"/>
      <c r="E23" s="16"/>
      <c r="F23" s="16"/>
      <c r="G23" s="16">
        <v>0.0001777795196967164</v>
      </c>
      <c r="H23" s="16">
        <v>0</v>
      </c>
      <c r="I23" s="16">
        <v>0</v>
      </c>
      <c r="J23" s="16">
        <v>0</v>
      </c>
      <c r="K23" s="16">
        <v>0</v>
      </c>
      <c r="L23" s="16">
        <v>0.0013222162800187167</v>
      </c>
      <c r="M23" s="16">
        <v>0.039373938021727055</v>
      </c>
      <c r="N23" s="16">
        <v>0.006106195555659348</v>
      </c>
      <c r="O23" s="16">
        <v>0</v>
      </c>
      <c r="P23" s="16">
        <v>0</v>
      </c>
      <c r="Q23" s="16">
        <v>0</v>
      </c>
      <c r="R23" s="16">
        <v>0</v>
      </c>
      <c r="S23" s="16">
        <v>0</v>
      </c>
      <c r="T23" s="16">
        <v>0</v>
      </c>
      <c r="U23" s="16">
        <v>0</v>
      </c>
      <c r="V23" s="16">
        <v>0.000124664923030848</v>
      </c>
      <c r="W23" s="16">
        <v>0.04710479430013268</v>
      </c>
      <c r="X23" s="16">
        <v>11.39936022063211</v>
      </c>
      <c r="Y23" s="16"/>
      <c r="Z23" s="16">
        <v>1.377387590040483E-06</v>
      </c>
      <c r="AA23" s="16">
        <v>0</v>
      </c>
      <c r="AB23" s="16">
        <v>0</v>
      </c>
      <c r="AC23" s="16">
        <v>0</v>
      </c>
      <c r="AD23" s="16">
        <v>0</v>
      </c>
      <c r="AE23" s="16">
        <v>4.714303155559156E-06</v>
      </c>
      <c r="AF23" s="16">
        <v>0.02701931259053524</v>
      </c>
      <c r="AG23" s="16">
        <v>8.388271422604793E-05</v>
      </c>
      <c r="AH23" s="16">
        <v>0</v>
      </c>
      <c r="AI23" s="16">
        <v>0</v>
      </c>
      <c r="AJ23" s="16">
        <v>0</v>
      </c>
      <c r="AK23" s="16">
        <v>0</v>
      </c>
      <c r="AL23" s="16">
        <v>0</v>
      </c>
      <c r="AM23" s="16">
        <v>0</v>
      </c>
      <c r="AN23" s="16">
        <v>0</v>
      </c>
      <c r="AO23" s="16">
        <v>1.4895139799894572E-07</v>
      </c>
      <c r="AP23" s="16">
        <v>0.027109435946904886</v>
      </c>
      <c r="AQ23" s="16">
        <v>0.013991012016153607</v>
      </c>
      <c r="AR23" s="16">
        <v>0</v>
      </c>
      <c r="AS23" s="16">
        <v>0.15948858582332728</v>
      </c>
      <c r="AT23" s="16">
        <v>0</v>
      </c>
      <c r="AU23" s="16">
        <v>0</v>
      </c>
      <c r="AV23" s="16">
        <v>0.013991012016153607</v>
      </c>
      <c r="AW23" s="16">
        <v>1</v>
      </c>
      <c r="AX23" s="15"/>
    </row>
    <row r="24" spans="1:50" ht="13.5" thickBot="1">
      <c r="A24" s="11" t="s">
        <v>4</v>
      </c>
      <c r="B24" s="12" t="s">
        <v>14</v>
      </c>
      <c r="C24" s="12">
        <v>92</v>
      </c>
      <c r="D24" s="12"/>
      <c r="E24" s="12"/>
      <c r="F24" s="12"/>
      <c r="G24" s="12">
        <v>3.558918576128119E-06</v>
      </c>
      <c r="H24" s="12">
        <v>0</v>
      </c>
      <c r="I24" s="12">
        <v>0</v>
      </c>
      <c r="J24" s="12">
        <v>0</v>
      </c>
      <c r="K24" s="12">
        <v>0</v>
      </c>
      <c r="L24" s="12">
        <v>0.0660489893681806</v>
      </c>
      <c r="M24" s="12">
        <v>0.0007882158736838451</v>
      </c>
      <c r="N24" s="12">
        <v>0.30502426224102064</v>
      </c>
      <c r="O24" s="12">
        <v>0</v>
      </c>
      <c r="P24" s="12">
        <v>0</v>
      </c>
      <c r="Q24" s="12">
        <v>0</v>
      </c>
      <c r="R24" s="12">
        <v>0</v>
      </c>
      <c r="S24" s="12">
        <v>0</v>
      </c>
      <c r="T24" s="12">
        <v>0</v>
      </c>
      <c r="U24" s="12">
        <v>0</v>
      </c>
      <c r="V24" s="12">
        <v>0.006227417027215073</v>
      </c>
      <c r="W24" s="12">
        <v>0.3780924434286763</v>
      </c>
      <c r="X24" s="12">
        <v>91.49837130973967</v>
      </c>
      <c r="Y24" s="12"/>
      <c r="Z24" s="12">
        <v>5.519869529342953E-10</v>
      </c>
      <c r="AA24" s="12">
        <v>0</v>
      </c>
      <c r="AB24" s="12">
        <v>0</v>
      </c>
      <c r="AC24" s="12">
        <v>0</v>
      </c>
      <c r="AD24" s="12">
        <v>0</v>
      </c>
      <c r="AE24" s="12">
        <v>0.011763724898999208</v>
      </c>
      <c r="AF24" s="12">
        <v>1.0827967476308129E-05</v>
      </c>
      <c r="AG24" s="12">
        <v>0.20931474734987746</v>
      </c>
      <c r="AH24" s="12">
        <v>0</v>
      </c>
      <c r="AI24" s="12">
        <v>0</v>
      </c>
      <c r="AJ24" s="12">
        <v>0</v>
      </c>
      <c r="AK24" s="12">
        <v>0</v>
      </c>
      <c r="AL24" s="12">
        <v>0</v>
      </c>
      <c r="AM24" s="12">
        <v>0</v>
      </c>
      <c r="AN24" s="12">
        <v>0</v>
      </c>
      <c r="AO24" s="12">
        <v>0.00037168234870824926</v>
      </c>
      <c r="AP24" s="12">
        <v>0.22146098311704818</v>
      </c>
      <c r="AQ24" s="12">
        <v>0.002750118273039812</v>
      </c>
      <c r="AR24" s="12">
        <v>0</v>
      </c>
      <c r="AS24" s="12">
        <v>0.2516313428922967</v>
      </c>
      <c r="AT24" s="12">
        <v>0</v>
      </c>
      <c r="AU24" s="12">
        <v>0</v>
      </c>
      <c r="AV24" s="12">
        <v>0.002750118273039812</v>
      </c>
      <c r="AW24" s="12">
        <v>1</v>
      </c>
      <c r="AX24" s="11"/>
    </row>
    <row r="25" spans="2:49" ht="12.75">
      <c r="B25" s="3" t="s">
        <v>7</v>
      </c>
      <c r="C25" s="3">
        <v>1</v>
      </c>
      <c r="D25" s="3"/>
      <c r="E25" s="3"/>
      <c r="F25" s="3"/>
      <c r="G25" s="3">
        <v>0.0013695291431554226</v>
      </c>
      <c r="H25" s="3">
        <v>0</v>
      </c>
      <c r="I25" s="3">
        <v>0</v>
      </c>
      <c r="J25" s="3">
        <v>0</v>
      </c>
      <c r="K25" s="3">
        <v>0</v>
      </c>
      <c r="L25" s="3">
        <v>1.9274519422480107E-05</v>
      </c>
      <c r="M25" s="3">
        <v>3.866485561486412E-05</v>
      </c>
      <c r="N25" s="3">
        <v>5.996229520791476E-06</v>
      </c>
      <c r="O25" s="3">
        <v>0</v>
      </c>
      <c r="P25" s="3">
        <v>0</v>
      </c>
      <c r="Q25" s="3">
        <v>0</v>
      </c>
      <c r="R25" s="3">
        <v>0</v>
      </c>
      <c r="S25" s="3">
        <v>0</v>
      </c>
      <c r="T25" s="3">
        <v>0</v>
      </c>
      <c r="U25" s="3">
        <v>0</v>
      </c>
      <c r="V25" s="3">
        <v>1.6182839372361637E-05</v>
      </c>
      <c r="W25" s="3">
        <v>0.0014496475870859201</v>
      </c>
      <c r="X25" s="3">
        <v>0.35081471607479264</v>
      </c>
      <c r="Y25" s="3"/>
      <c r="Z25" s="3">
        <v>8.174011894945212E-05</v>
      </c>
      <c r="AA25" s="3">
        <v>0</v>
      </c>
      <c r="AB25" s="3">
        <v>0</v>
      </c>
      <c r="AC25" s="3">
        <v>0</v>
      </c>
      <c r="AD25" s="3">
        <v>0</v>
      </c>
      <c r="AE25" s="3">
        <v>1.0017967609002685E-09</v>
      </c>
      <c r="AF25" s="3">
        <v>2.6054897834931524E-08</v>
      </c>
      <c r="AG25" s="3">
        <v>8.088864370450444E-11</v>
      </c>
      <c r="AH25" s="3">
        <v>0</v>
      </c>
      <c r="AI25" s="3">
        <v>0</v>
      </c>
      <c r="AJ25" s="3">
        <v>0</v>
      </c>
      <c r="AK25" s="3">
        <v>0</v>
      </c>
      <c r="AL25" s="3">
        <v>0</v>
      </c>
      <c r="AM25" s="3">
        <v>0</v>
      </c>
      <c r="AN25" s="3">
        <v>0</v>
      </c>
      <c r="AO25" s="3">
        <v>2.5099523925307886E-09</v>
      </c>
      <c r="AP25" s="3">
        <v>8.17697664850842E-05</v>
      </c>
      <c r="AQ25" s="3">
        <v>1.2013222751328425</v>
      </c>
      <c r="AR25" s="3">
        <v>1</v>
      </c>
      <c r="AS25" s="3">
        <v>0.4214415328650521</v>
      </c>
      <c r="AT25" s="3">
        <v>0.35081471607479264</v>
      </c>
      <c r="AU25" s="3">
        <v>1</v>
      </c>
      <c r="AV25" s="3">
        <v>0</v>
      </c>
      <c r="AW25" s="3">
        <v>0</v>
      </c>
    </row>
    <row r="26" spans="2:49" ht="12.75">
      <c r="B26" s="3" t="s">
        <v>15</v>
      </c>
      <c r="C26" s="3">
        <v>4</v>
      </c>
      <c r="D26" s="3"/>
      <c r="E26" s="3"/>
      <c r="F26" s="3"/>
      <c r="G26" s="3">
        <v>2.7416221601000784E-05</v>
      </c>
      <c r="H26" s="3">
        <v>0</v>
      </c>
      <c r="I26" s="3">
        <v>0</v>
      </c>
      <c r="J26" s="3">
        <v>0</v>
      </c>
      <c r="K26" s="3">
        <v>0</v>
      </c>
      <c r="L26" s="3">
        <v>0.0009628247266734288</v>
      </c>
      <c r="M26" s="3">
        <v>7.740209509273023E-07</v>
      </c>
      <c r="N26" s="3">
        <v>0.0002995311023264065</v>
      </c>
      <c r="O26" s="3">
        <v>0</v>
      </c>
      <c r="P26" s="3">
        <v>0</v>
      </c>
      <c r="Q26" s="3">
        <v>0</v>
      </c>
      <c r="R26" s="3">
        <v>0</v>
      </c>
      <c r="S26" s="3">
        <v>0</v>
      </c>
      <c r="T26" s="3">
        <v>0</v>
      </c>
      <c r="U26" s="3">
        <v>0</v>
      </c>
      <c r="V26" s="3">
        <v>0.0008083852859813204</v>
      </c>
      <c r="W26" s="3">
        <v>0.002098931357533084</v>
      </c>
      <c r="X26" s="3">
        <v>0.5079413885230063</v>
      </c>
      <c r="Y26" s="3"/>
      <c r="Z26" s="3">
        <v>3.27572859793726E-08</v>
      </c>
      <c r="AA26" s="3">
        <v>0</v>
      </c>
      <c r="AB26" s="3">
        <v>0</v>
      </c>
      <c r="AC26" s="3">
        <v>0</v>
      </c>
      <c r="AD26" s="3">
        <v>0</v>
      </c>
      <c r="AE26" s="3">
        <v>2.4998098575910226E-06</v>
      </c>
      <c r="AF26" s="3">
        <v>1.0441479049840657E-11</v>
      </c>
      <c r="AG26" s="3">
        <v>2.0184356427542727E-07</v>
      </c>
      <c r="AH26" s="3">
        <v>0</v>
      </c>
      <c r="AI26" s="3">
        <v>0</v>
      </c>
      <c r="AJ26" s="3">
        <v>0</v>
      </c>
      <c r="AK26" s="3">
        <v>0</v>
      </c>
      <c r="AL26" s="3">
        <v>0</v>
      </c>
      <c r="AM26" s="3">
        <v>0</v>
      </c>
      <c r="AN26" s="3">
        <v>0</v>
      </c>
      <c r="AO26" s="3">
        <v>6.263150349272561E-06</v>
      </c>
      <c r="AP26" s="3">
        <v>8.997571498597432E-06</v>
      </c>
      <c r="AQ26" s="3">
        <v>24.00763871880919</v>
      </c>
      <c r="AR26" s="3">
        <v>1</v>
      </c>
      <c r="AS26" s="3">
        <v>12.194473345990628</v>
      </c>
      <c r="AT26" s="3">
        <v>0.5079413885230063</v>
      </c>
      <c r="AU26" s="3">
        <v>4</v>
      </c>
      <c r="AV26" s="3">
        <v>0</v>
      </c>
      <c r="AW26" s="3">
        <v>0</v>
      </c>
    </row>
    <row r="27" spans="2:49" ht="12.75">
      <c r="B27" s="3" t="s">
        <v>16</v>
      </c>
      <c r="C27" s="3">
        <v>0</v>
      </c>
      <c r="D27" s="3"/>
      <c r="E27" s="3"/>
      <c r="F27" s="3"/>
      <c r="G27" s="3">
        <v>0.00035545491103637855</v>
      </c>
      <c r="H27" s="3">
        <v>0</v>
      </c>
      <c r="I27" s="3">
        <v>0</v>
      </c>
      <c r="J27" s="3">
        <v>0</v>
      </c>
      <c r="K27" s="3">
        <v>0</v>
      </c>
      <c r="L27" s="3">
        <v>5.002611752241549E-06</v>
      </c>
      <c r="M27" s="3">
        <v>0.0001489714867803124</v>
      </c>
      <c r="N27" s="3">
        <v>2.3102820703277195E-05</v>
      </c>
      <c r="O27" s="3">
        <v>0</v>
      </c>
      <c r="P27" s="3">
        <v>0</v>
      </c>
      <c r="Q27" s="3">
        <v>0</v>
      </c>
      <c r="R27" s="3">
        <v>0</v>
      </c>
      <c r="S27" s="3">
        <v>0</v>
      </c>
      <c r="T27" s="3">
        <v>0</v>
      </c>
      <c r="U27" s="3">
        <v>0</v>
      </c>
      <c r="V27" s="3">
        <v>6.235072143139989E-05</v>
      </c>
      <c r="W27" s="3">
        <v>0.0005948825517036096</v>
      </c>
      <c r="X27" s="3">
        <v>0.1439615775122735</v>
      </c>
      <c r="Y27" s="3"/>
      <c r="Z27" s="3">
        <v>5.506323799410324E-06</v>
      </c>
      <c r="AA27" s="3">
        <v>0</v>
      </c>
      <c r="AB27" s="3">
        <v>0</v>
      </c>
      <c r="AC27" s="3">
        <v>0</v>
      </c>
      <c r="AD27" s="3">
        <v>0</v>
      </c>
      <c r="AE27" s="3">
        <v>6.748482162264208E-11</v>
      </c>
      <c r="AF27" s="3">
        <v>3.867790064346015E-07</v>
      </c>
      <c r="AG27" s="3">
        <v>1.2007734377651584E-09</v>
      </c>
      <c r="AH27" s="3">
        <v>0</v>
      </c>
      <c r="AI27" s="3">
        <v>0</v>
      </c>
      <c r="AJ27" s="3">
        <v>0</v>
      </c>
      <c r="AK27" s="3">
        <v>0</v>
      </c>
      <c r="AL27" s="3">
        <v>0</v>
      </c>
      <c r="AM27" s="3">
        <v>0</v>
      </c>
      <c r="AN27" s="3">
        <v>0</v>
      </c>
      <c r="AO27" s="3">
        <v>3.7259669898980467E-08</v>
      </c>
      <c r="AP27" s="3">
        <v>5.931630734003293E-06</v>
      </c>
      <c r="AQ27" s="3">
        <v>0.1439615775122735</v>
      </c>
      <c r="AR27" s="3">
        <v>1</v>
      </c>
      <c r="AS27" s="3">
        <v>0.020724935799822333</v>
      </c>
      <c r="AT27" s="3">
        <v>0.1439615775122735</v>
      </c>
      <c r="AU27" s="3">
        <v>0</v>
      </c>
      <c r="AV27" s="3">
        <v>0</v>
      </c>
      <c r="AW27" s="3">
        <v>0</v>
      </c>
    </row>
    <row r="28" spans="2:49" ht="12.75">
      <c r="B28" s="3" t="s">
        <v>17</v>
      </c>
      <c r="C28" s="3">
        <v>1</v>
      </c>
      <c r="D28" s="3"/>
      <c r="E28" s="3"/>
      <c r="F28" s="3"/>
      <c r="G28" s="3">
        <v>7.115752635744695E-06</v>
      </c>
      <c r="H28" s="3">
        <v>0</v>
      </c>
      <c r="I28" s="3">
        <v>0</v>
      </c>
      <c r="J28" s="3">
        <v>0</v>
      </c>
      <c r="K28" s="3">
        <v>0</v>
      </c>
      <c r="L28" s="3">
        <v>0.0002498966738121392</v>
      </c>
      <c r="M28" s="3">
        <v>2.9822186071845412E-06</v>
      </c>
      <c r="N28" s="3">
        <v>0.0011540607857166436</v>
      </c>
      <c r="O28" s="3">
        <v>0</v>
      </c>
      <c r="P28" s="3">
        <v>0</v>
      </c>
      <c r="Q28" s="3">
        <v>0</v>
      </c>
      <c r="R28" s="3">
        <v>0</v>
      </c>
      <c r="S28" s="3">
        <v>0</v>
      </c>
      <c r="T28" s="3">
        <v>0</v>
      </c>
      <c r="U28" s="3">
        <v>0</v>
      </c>
      <c r="V28" s="3">
        <v>0.00311462065560305</v>
      </c>
      <c r="W28" s="3">
        <v>0.004528676086374762</v>
      </c>
      <c r="X28" s="3">
        <v>1.0959396129026924</v>
      </c>
      <c r="Y28" s="3"/>
      <c r="Z28" s="3">
        <v>2.206654770148441E-09</v>
      </c>
      <c r="AA28" s="3">
        <v>0</v>
      </c>
      <c r="AB28" s="3">
        <v>0</v>
      </c>
      <c r="AC28" s="3">
        <v>0</v>
      </c>
      <c r="AD28" s="3">
        <v>0</v>
      </c>
      <c r="AE28" s="3">
        <v>1.683966538067564E-07</v>
      </c>
      <c r="AF28" s="3">
        <v>1.5500137126581408E-10</v>
      </c>
      <c r="AG28" s="3">
        <v>2.996321602957979E-06</v>
      </c>
      <c r="AH28" s="3">
        <v>0</v>
      </c>
      <c r="AI28" s="3">
        <v>0</v>
      </c>
      <c r="AJ28" s="3">
        <v>0</v>
      </c>
      <c r="AK28" s="3">
        <v>0</v>
      </c>
      <c r="AL28" s="3">
        <v>0</v>
      </c>
      <c r="AM28" s="3">
        <v>0</v>
      </c>
      <c r="AN28" s="3">
        <v>0</v>
      </c>
      <c r="AO28" s="3">
        <v>9.297503619432386E-05</v>
      </c>
      <c r="AP28" s="3">
        <v>9.614211610723E-05</v>
      </c>
      <c r="AQ28" s="3">
        <v>0.008398646435947113</v>
      </c>
      <c r="AR28" s="3">
        <v>1</v>
      </c>
      <c r="AS28" s="3">
        <v>0.009204409323918456</v>
      </c>
      <c r="AT28" s="3">
        <v>1.0959396129026924</v>
      </c>
      <c r="AU28" s="3">
        <v>1</v>
      </c>
      <c r="AV28" s="3">
        <v>0</v>
      </c>
      <c r="AW28" s="3">
        <v>0</v>
      </c>
    </row>
    <row r="29" spans="2:49" ht="12.75">
      <c r="B29" s="3" t="s">
        <v>18</v>
      </c>
      <c r="C29" s="3">
        <v>0</v>
      </c>
      <c r="D29" s="3"/>
      <c r="E29" s="3"/>
      <c r="F29" s="3"/>
      <c r="G29" s="3">
        <v>5.9575409001364865E-05</v>
      </c>
      <c r="H29" s="3">
        <v>0</v>
      </c>
      <c r="I29" s="3">
        <v>0</v>
      </c>
      <c r="J29" s="3">
        <v>0</v>
      </c>
      <c r="K29" s="3">
        <v>0</v>
      </c>
      <c r="L29" s="3">
        <v>0.0004430857716612064</v>
      </c>
      <c r="M29" s="3">
        <v>0.000888833957971482</v>
      </c>
      <c r="N29" s="3">
        <v>0.000137842294588102</v>
      </c>
      <c r="O29" s="3">
        <v>0</v>
      </c>
      <c r="P29" s="3">
        <v>0</v>
      </c>
      <c r="Q29" s="3">
        <v>0</v>
      </c>
      <c r="R29" s="3">
        <v>0</v>
      </c>
      <c r="S29" s="3">
        <v>0</v>
      </c>
      <c r="T29" s="3">
        <v>0</v>
      </c>
      <c r="U29" s="3">
        <v>0</v>
      </c>
      <c r="V29" s="3">
        <v>0.00037201373034542696</v>
      </c>
      <c r="W29" s="3">
        <v>0.0019013511635675821</v>
      </c>
      <c r="X29" s="3">
        <v>0.46012698158335485</v>
      </c>
      <c r="Y29" s="3"/>
      <c r="Z29" s="3">
        <v>1.5467736812926905E-07</v>
      </c>
      <c r="AA29" s="3">
        <v>0</v>
      </c>
      <c r="AB29" s="3">
        <v>0</v>
      </c>
      <c r="AC29" s="3">
        <v>0</v>
      </c>
      <c r="AD29" s="3">
        <v>0</v>
      </c>
      <c r="AE29" s="3">
        <v>5.294050926101103E-07</v>
      </c>
      <c r="AF29" s="3">
        <v>1.3768856258681869E-05</v>
      </c>
      <c r="AG29" s="3">
        <v>4.2746055470379497E-08</v>
      </c>
      <c r="AH29" s="3">
        <v>0</v>
      </c>
      <c r="AI29" s="3">
        <v>0</v>
      </c>
      <c r="AJ29" s="3">
        <v>0</v>
      </c>
      <c r="AK29" s="3">
        <v>0</v>
      </c>
      <c r="AL29" s="3">
        <v>0</v>
      </c>
      <c r="AM29" s="3">
        <v>0</v>
      </c>
      <c r="AN29" s="3">
        <v>0</v>
      </c>
      <c r="AO29" s="3">
        <v>1.3263983581067038E-06</v>
      </c>
      <c r="AP29" s="3">
        <v>1.582208313299833E-05</v>
      </c>
      <c r="AQ29" s="3">
        <v>0.46012698158335485</v>
      </c>
      <c r="AR29" s="3">
        <v>1</v>
      </c>
      <c r="AS29" s="3">
        <v>0.21171683918100898</v>
      </c>
      <c r="AT29" s="3">
        <v>0.46012698158335485</v>
      </c>
      <c r="AU29" s="3">
        <v>0</v>
      </c>
      <c r="AV29" s="3">
        <v>0</v>
      </c>
      <c r="AW29" s="3">
        <v>0</v>
      </c>
    </row>
    <row r="30" spans="2:49" ht="12.75">
      <c r="B30" s="16" t="s">
        <v>19</v>
      </c>
      <c r="C30" s="16">
        <v>12</v>
      </c>
      <c r="D30" s="16"/>
      <c r="E30" s="16"/>
      <c r="F30" s="16"/>
      <c r="G30" s="16">
        <v>1.1926234818110147E-06</v>
      </c>
      <c r="H30" s="16">
        <v>0</v>
      </c>
      <c r="I30" s="16">
        <v>0</v>
      </c>
      <c r="J30" s="16">
        <v>0</v>
      </c>
      <c r="K30" s="16">
        <v>0</v>
      </c>
      <c r="L30" s="16">
        <v>0.022133570629782932</v>
      </c>
      <c r="M30" s="16">
        <v>1.7793318878994662E-05</v>
      </c>
      <c r="N30" s="16">
        <v>0.006885669453114199</v>
      </c>
      <c r="O30" s="16">
        <v>0</v>
      </c>
      <c r="P30" s="16">
        <v>0</v>
      </c>
      <c r="Q30" s="16">
        <v>0</v>
      </c>
      <c r="R30" s="16">
        <v>0</v>
      </c>
      <c r="S30" s="16">
        <v>0</v>
      </c>
      <c r="T30" s="16">
        <v>0</v>
      </c>
      <c r="U30" s="16">
        <v>0</v>
      </c>
      <c r="V30" s="16">
        <v>0.018583291774364245</v>
      </c>
      <c r="W30" s="16">
        <v>0.04762151779962218</v>
      </c>
      <c r="X30" s="16">
        <v>11.524407307508568</v>
      </c>
      <c r="Y30" s="16"/>
      <c r="Z30" s="16">
        <v>6.198682908059458E-11</v>
      </c>
      <c r="AA30" s="16">
        <v>0</v>
      </c>
      <c r="AB30" s="16">
        <v>0</v>
      </c>
      <c r="AC30" s="16">
        <v>0</v>
      </c>
      <c r="AD30" s="16">
        <v>0</v>
      </c>
      <c r="AE30" s="16">
        <v>0.0013210384788790417</v>
      </c>
      <c r="AF30" s="16">
        <v>5.517857912017869E-09</v>
      </c>
      <c r="AG30" s="16">
        <v>0.00010666535869207631</v>
      </c>
      <c r="AH30" s="16">
        <v>0</v>
      </c>
      <c r="AI30" s="16">
        <v>0</v>
      </c>
      <c r="AJ30" s="16">
        <v>0</v>
      </c>
      <c r="AK30" s="16">
        <v>0</v>
      </c>
      <c r="AL30" s="16">
        <v>0</v>
      </c>
      <c r="AM30" s="16">
        <v>0</v>
      </c>
      <c r="AN30" s="16">
        <v>0</v>
      </c>
      <c r="AO30" s="16">
        <v>0.003309796777250487</v>
      </c>
      <c r="AP30" s="16">
        <v>0.004737506194666346</v>
      </c>
      <c r="AQ30" s="16">
        <v>0.019626901680564506</v>
      </c>
      <c r="AR30" s="16">
        <v>0</v>
      </c>
      <c r="AS30" s="16">
        <v>0.2261884091512498</v>
      </c>
      <c r="AT30" s="16">
        <v>0</v>
      </c>
      <c r="AU30" s="16">
        <v>0</v>
      </c>
      <c r="AV30" s="16">
        <v>0.019626901680564506</v>
      </c>
      <c r="AW30" s="16">
        <v>1</v>
      </c>
    </row>
    <row r="31" spans="2:49" ht="12.75">
      <c r="B31" s="16" t="s">
        <v>20</v>
      </c>
      <c r="C31" s="16">
        <v>3</v>
      </c>
      <c r="D31" s="16"/>
      <c r="E31" s="16"/>
      <c r="F31" s="16"/>
      <c r="G31" s="16">
        <v>1.546251995612538E-05</v>
      </c>
      <c r="H31" s="16">
        <v>0</v>
      </c>
      <c r="I31" s="16">
        <v>0</v>
      </c>
      <c r="J31" s="16">
        <v>0</v>
      </c>
      <c r="K31" s="16">
        <v>0</v>
      </c>
      <c r="L31" s="16">
        <v>0.00011500084852845334</v>
      </c>
      <c r="M31" s="16">
        <v>0.003424580646020517</v>
      </c>
      <c r="N31" s="16">
        <v>0.0005310913810345425</v>
      </c>
      <c r="O31" s="16">
        <v>0</v>
      </c>
      <c r="P31" s="16">
        <v>0</v>
      </c>
      <c r="Q31" s="16">
        <v>0</v>
      </c>
      <c r="R31" s="16">
        <v>0</v>
      </c>
      <c r="S31" s="16">
        <v>0</v>
      </c>
      <c r="T31" s="16">
        <v>0</v>
      </c>
      <c r="U31" s="16">
        <v>0</v>
      </c>
      <c r="V31" s="16">
        <v>0.0014333284744232518</v>
      </c>
      <c r="W31" s="16">
        <v>0.00551946386996289</v>
      </c>
      <c r="X31" s="16">
        <v>1.3357102565310195</v>
      </c>
      <c r="Y31" s="16"/>
      <c r="Z31" s="16">
        <v>1.0419652972208636E-08</v>
      </c>
      <c r="AA31" s="16">
        <v>0</v>
      </c>
      <c r="AB31" s="16">
        <v>0</v>
      </c>
      <c r="AC31" s="16">
        <v>0</v>
      </c>
      <c r="AD31" s="16">
        <v>0</v>
      </c>
      <c r="AE31" s="16">
        <v>3.566273084054052E-08</v>
      </c>
      <c r="AF31" s="16">
        <v>0.00020439552583215165</v>
      </c>
      <c r="AG31" s="16">
        <v>6.345554286405898E-07</v>
      </c>
      <c r="AH31" s="16">
        <v>0</v>
      </c>
      <c r="AI31" s="16">
        <v>0</v>
      </c>
      <c r="AJ31" s="16">
        <v>0</v>
      </c>
      <c r="AK31" s="16">
        <v>0</v>
      </c>
      <c r="AL31" s="16">
        <v>0</v>
      </c>
      <c r="AM31" s="16">
        <v>0</v>
      </c>
      <c r="AN31" s="16">
        <v>0</v>
      </c>
      <c r="AO31" s="16">
        <v>1.969008062649907E-05</v>
      </c>
      <c r="AP31" s="16">
        <v>0.00022476624427110405</v>
      </c>
      <c r="AQ31" s="16">
        <v>2.0736984961167138</v>
      </c>
      <c r="AR31" s="16">
        <v>1</v>
      </c>
      <c r="AS31" s="16">
        <v>2.769860350216045</v>
      </c>
      <c r="AT31" s="16">
        <v>1.3357102565310195</v>
      </c>
      <c r="AU31" s="16">
        <v>3</v>
      </c>
      <c r="AV31" s="16">
        <v>0</v>
      </c>
      <c r="AW31" s="16">
        <v>0</v>
      </c>
    </row>
    <row r="32" spans="2:49" ht="13.5" thickBot="1">
      <c r="B32" s="12" t="s">
        <v>21</v>
      </c>
      <c r="C32" s="12">
        <v>25</v>
      </c>
      <c r="D32" s="12"/>
      <c r="E32" s="12"/>
      <c r="F32" s="12"/>
      <c r="G32" s="12">
        <v>3.095398705063706E-07</v>
      </c>
      <c r="H32" s="12">
        <v>0</v>
      </c>
      <c r="I32" s="12">
        <v>0</v>
      </c>
      <c r="J32" s="12">
        <v>0</v>
      </c>
      <c r="K32" s="12">
        <v>0</v>
      </c>
      <c r="L32" s="12">
        <v>0.005744665178135638</v>
      </c>
      <c r="M32" s="12">
        <v>6.85557239515726E-05</v>
      </c>
      <c r="N32" s="12">
        <v>0.026529736102618773</v>
      </c>
      <c r="O32" s="12">
        <v>0</v>
      </c>
      <c r="P32" s="12">
        <v>0</v>
      </c>
      <c r="Q32" s="12">
        <v>0</v>
      </c>
      <c r="R32" s="12">
        <v>0</v>
      </c>
      <c r="S32" s="12">
        <v>0</v>
      </c>
      <c r="T32" s="12">
        <v>0</v>
      </c>
      <c r="U32" s="12">
        <v>0</v>
      </c>
      <c r="V32" s="12">
        <v>0.07159940366711545</v>
      </c>
      <c r="W32" s="12">
        <v>0.10394267021169194</v>
      </c>
      <c r="X32" s="12">
        <v>25.15412619122945</v>
      </c>
      <c r="Y32" s="12"/>
      <c r="Z32" s="12">
        <v>4.175667427490887E-12</v>
      </c>
      <c r="AA32" s="12">
        <v>0</v>
      </c>
      <c r="AB32" s="12">
        <v>0</v>
      </c>
      <c r="AC32" s="12">
        <v>0</v>
      </c>
      <c r="AD32" s="12">
        <v>0</v>
      </c>
      <c r="AE32" s="12">
        <v>8.899015207803582E-05</v>
      </c>
      <c r="AF32" s="12">
        <v>8.19113402162832E-08</v>
      </c>
      <c r="AG32" s="12">
        <v>0.0015834228833781986</v>
      </c>
      <c r="AH32" s="12">
        <v>0</v>
      </c>
      <c r="AI32" s="12">
        <v>0</v>
      </c>
      <c r="AJ32" s="12">
        <v>0</v>
      </c>
      <c r="AK32" s="12">
        <v>0</v>
      </c>
      <c r="AL32" s="12">
        <v>0</v>
      </c>
      <c r="AM32" s="12">
        <v>0</v>
      </c>
      <c r="AN32" s="12">
        <v>0</v>
      </c>
      <c r="AO32" s="12">
        <v>0.04913317707540933</v>
      </c>
      <c r="AP32" s="12">
        <v>0.05080567202638145</v>
      </c>
      <c r="AQ32" s="12">
        <v>0.000944373207095548</v>
      </c>
      <c r="AR32" s="12">
        <v>0</v>
      </c>
      <c r="AS32" s="12">
        <v>0.02375488282289748</v>
      </c>
      <c r="AT32" s="12">
        <v>0</v>
      </c>
      <c r="AU32" s="12">
        <v>0</v>
      </c>
      <c r="AV32" s="12">
        <v>0.000944373207095548</v>
      </c>
      <c r="AW32" s="12">
        <v>1</v>
      </c>
    </row>
    <row r="33" spans="3:50" ht="12.75">
      <c r="C33">
        <v>242</v>
      </c>
      <c r="D33">
        <v>0</v>
      </c>
      <c r="E33">
        <v>0</v>
      </c>
      <c r="F33">
        <v>0</v>
      </c>
      <c r="G33">
        <v>0.022946015959579145</v>
      </c>
      <c r="H33">
        <v>0</v>
      </c>
      <c r="I33">
        <v>0</v>
      </c>
      <c r="J33">
        <v>0</v>
      </c>
      <c r="K33">
        <v>0</v>
      </c>
      <c r="L33">
        <v>0.3708407867417205</v>
      </c>
      <c r="M33">
        <v>0.05737773639296323</v>
      </c>
      <c r="N33">
        <v>0.4444971113294727</v>
      </c>
      <c r="O33">
        <v>0</v>
      </c>
      <c r="P33">
        <v>0</v>
      </c>
      <c r="Q33">
        <v>0</v>
      </c>
      <c r="R33">
        <v>0</v>
      </c>
      <c r="S33">
        <v>0</v>
      </c>
      <c r="T33">
        <v>0</v>
      </c>
      <c r="U33">
        <v>0</v>
      </c>
      <c r="V33">
        <v>0.10433834957626413</v>
      </c>
      <c r="W33">
        <v>1</v>
      </c>
      <c r="X33">
        <v>242</v>
      </c>
      <c r="Z33">
        <v>0.011647123313064806</v>
      </c>
      <c r="AA33">
        <v>0</v>
      </c>
      <c r="AB33">
        <v>0</v>
      </c>
      <c r="AC33">
        <v>0</v>
      </c>
      <c r="AD33">
        <v>0</v>
      </c>
      <c r="AE33">
        <v>0.18823434884310125</v>
      </c>
      <c r="AF33">
        <v>0.029124252871199803</v>
      </c>
      <c r="AG33">
        <v>0.2256214184229314</v>
      </c>
      <c r="AH33">
        <v>0</v>
      </c>
      <c r="AI33">
        <v>0</v>
      </c>
      <c r="AJ33">
        <v>0</v>
      </c>
      <c r="AK33">
        <v>0</v>
      </c>
      <c r="AL33">
        <v>0</v>
      </c>
      <c r="AM33">
        <v>0</v>
      </c>
      <c r="AN33">
        <v>0</v>
      </c>
      <c r="AO33">
        <v>0.052960898568934</v>
      </c>
      <c r="AP33">
        <v>0.5075880420192312</v>
      </c>
      <c r="AQ33">
        <v>30.15758318827572</v>
      </c>
      <c r="AR33">
        <v>10</v>
      </c>
      <c r="AT33">
        <v>16.974109544241056</v>
      </c>
      <c r="AU33">
        <v>18</v>
      </c>
      <c r="AV33">
        <v>0.07088445525369141</v>
      </c>
      <c r="AW33">
        <v>6</v>
      </c>
      <c r="AX33" t="s">
        <v>64</v>
      </c>
    </row>
    <row r="34" spans="43:48" ht="12.75">
      <c r="AQ34" t="s">
        <v>38</v>
      </c>
      <c r="AU34">
        <v>0.062003324797345105</v>
      </c>
      <c r="AV34" s="41">
        <v>0.13288778005103652</v>
      </c>
    </row>
    <row r="35" spans="5:47" ht="12.75">
      <c r="E35" t="s">
        <v>106</v>
      </c>
      <c r="F35">
        <v>0</v>
      </c>
      <c r="AP35" t="s">
        <v>106</v>
      </c>
      <c r="AU35" t="s">
        <v>61</v>
      </c>
    </row>
    <row r="36" ht="12.75">
      <c r="AP36" t="s">
        <v>0</v>
      </c>
    </row>
    <row r="39" ht="12.75">
      <c r="A39" t="s">
        <v>77</v>
      </c>
    </row>
    <row r="40" ht="12.75">
      <c r="E40" t="s">
        <v>49</v>
      </c>
    </row>
    <row r="41" spans="2:3" ht="12.75">
      <c r="B41" t="s">
        <v>98</v>
      </c>
      <c r="C41" s="48">
        <v>0.03646956119636406</v>
      </c>
    </row>
    <row r="42" spans="2:26" ht="12.75">
      <c r="B42" t="s">
        <v>99</v>
      </c>
      <c r="C42" s="48">
        <v>0.4899873171934168</v>
      </c>
      <c r="Z42" t="s">
        <v>34</v>
      </c>
    </row>
    <row r="43" spans="2:3" ht="12.75">
      <c r="B43" t="s">
        <v>100</v>
      </c>
      <c r="C43" s="48">
        <v>0</v>
      </c>
    </row>
    <row r="44" spans="2:42" ht="12.75">
      <c r="B44" t="s">
        <v>5</v>
      </c>
      <c r="C44" s="48">
        <v>0.031009261058551417</v>
      </c>
      <c r="G44" t="s">
        <v>107</v>
      </c>
      <c r="Z44" t="s">
        <v>101</v>
      </c>
      <c r="AP44" t="s">
        <v>108</v>
      </c>
    </row>
    <row r="45" spans="23:43" ht="12.75">
      <c r="W45" t="s">
        <v>22</v>
      </c>
      <c r="X45" t="s">
        <v>2</v>
      </c>
      <c r="AP45" t="s">
        <v>22</v>
      </c>
      <c r="AQ45" t="s">
        <v>37</v>
      </c>
    </row>
    <row r="46" spans="7:52" ht="12.75">
      <c r="G46" s="48">
        <v>0.03209441673084291</v>
      </c>
      <c r="H46">
        <v>0</v>
      </c>
      <c r="I46">
        <v>0</v>
      </c>
      <c r="J46">
        <v>0</v>
      </c>
      <c r="K46">
        <v>0</v>
      </c>
      <c r="L46" s="48">
        <v>0.7447858098711224</v>
      </c>
      <c r="M46" s="48">
        <v>0.07195883866263715</v>
      </c>
      <c r="N46">
        <v>0</v>
      </c>
      <c r="O46">
        <v>0</v>
      </c>
      <c r="P46">
        <v>0</v>
      </c>
      <c r="Q46">
        <v>0</v>
      </c>
      <c r="R46">
        <v>0</v>
      </c>
      <c r="S46">
        <v>0</v>
      </c>
      <c r="T46">
        <v>0</v>
      </c>
      <c r="U46">
        <v>0</v>
      </c>
      <c r="V46" s="48">
        <v>0.15116093473539732</v>
      </c>
      <c r="W46">
        <v>1</v>
      </c>
      <c r="X46" t="s">
        <v>97</v>
      </c>
      <c r="Z46">
        <v>0.03209441673084291</v>
      </c>
      <c r="AA46">
        <v>0</v>
      </c>
      <c r="AB46">
        <v>0</v>
      </c>
      <c r="AC46">
        <v>0</v>
      </c>
      <c r="AD46">
        <v>0</v>
      </c>
      <c r="AE46">
        <v>0.7447858098711224</v>
      </c>
      <c r="AF46">
        <v>0.07195883866263715</v>
      </c>
      <c r="AG46">
        <v>0</v>
      </c>
      <c r="AH46">
        <v>0</v>
      </c>
      <c r="AI46">
        <v>0</v>
      </c>
      <c r="AJ46">
        <v>0</v>
      </c>
      <c r="AK46">
        <v>0</v>
      </c>
      <c r="AL46">
        <v>0</v>
      </c>
      <c r="AM46">
        <v>0</v>
      </c>
      <c r="AN46">
        <v>0</v>
      </c>
      <c r="AO46">
        <v>0.15116093473539732</v>
      </c>
      <c r="AP46">
        <v>1</v>
      </c>
      <c r="AX46" s="53" t="s">
        <v>90</v>
      </c>
      <c r="AY46" s="53" t="s">
        <v>91</v>
      </c>
      <c r="AZ46" s="53"/>
    </row>
    <row r="47" spans="2:52" ht="12.75">
      <c r="B47" t="s">
        <v>1</v>
      </c>
      <c r="C47" t="s">
        <v>102</v>
      </c>
      <c r="D47" t="s">
        <v>103</v>
      </c>
      <c r="E47" t="s">
        <v>104</v>
      </c>
      <c r="F47" t="s">
        <v>105</v>
      </c>
      <c r="G47" t="s">
        <v>6</v>
      </c>
      <c r="H47" t="s">
        <v>8</v>
      </c>
      <c r="I47" t="s">
        <v>9</v>
      </c>
      <c r="J47" t="s">
        <v>10</v>
      </c>
      <c r="K47" t="s">
        <v>11</v>
      </c>
      <c r="L47" t="s">
        <v>12</v>
      </c>
      <c r="M47" t="s">
        <v>13</v>
      </c>
      <c r="N47" t="s">
        <v>14</v>
      </c>
      <c r="O47" t="s">
        <v>7</v>
      </c>
      <c r="P47" t="s">
        <v>15</v>
      </c>
      <c r="Q47" t="s">
        <v>16</v>
      </c>
      <c r="R47" t="s">
        <v>17</v>
      </c>
      <c r="S47" t="s">
        <v>18</v>
      </c>
      <c r="T47" t="s">
        <v>19</v>
      </c>
      <c r="U47" t="s">
        <v>20</v>
      </c>
      <c r="V47" t="s">
        <v>21</v>
      </c>
      <c r="Z47" t="s">
        <v>6</v>
      </c>
      <c r="AA47" t="s">
        <v>8</v>
      </c>
      <c r="AB47" t="s">
        <v>9</v>
      </c>
      <c r="AC47" t="s">
        <v>10</v>
      </c>
      <c r="AD47" t="s">
        <v>11</v>
      </c>
      <c r="AE47" t="s">
        <v>12</v>
      </c>
      <c r="AF47" t="s">
        <v>13</v>
      </c>
      <c r="AG47" t="s">
        <v>14</v>
      </c>
      <c r="AH47" t="s">
        <v>7</v>
      </c>
      <c r="AI47" t="s">
        <v>15</v>
      </c>
      <c r="AJ47" t="s">
        <v>16</v>
      </c>
      <c r="AK47" t="s">
        <v>17</v>
      </c>
      <c r="AL47" t="s">
        <v>18</v>
      </c>
      <c r="AM47" t="s">
        <v>19</v>
      </c>
      <c r="AN47" t="s">
        <v>20</v>
      </c>
      <c r="AO47" t="s">
        <v>21</v>
      </c>
      <c r="AR47" t="s">
        <v>65</v>
      </c>
      <c r="AS47" t="s">
        <v>59</v>
      </c>
      <c r="AT47" t="s">
        <v>60</v>
      </c>
      <c r="AU47" t="s">
        <v>62</v>
      </c>
      <c r="AW47" t="s">
        <v>63</v>
      </c>
      <c r="AX47" s="53"/>
      <c r="AY47" s="53"/>
      <c r="AZ47" s="53"/>
    </row>
    <row r="48" spans="2:52" ht="12.75">
      <c r="B48" t="s">
        <v>6</v>
      </c>
      <c r="C48">
        <v>2</v>
      </c>
      <c r="G48">
        <v>0.015282539565713162</v>
      </c>
      <c r="H48">
        <v>0</v>
      </c>
      <c r="I48">
        <v>0</v>
      </c>
      <c r="J48">
        <v>0</v>
      </c>
      <c r="K48">
        <v>0</v>
      </c>
      <c r="L48">
        <v>0</v>
      </c>
      <c r="M48">
        <v>0.0012460031746009004</v>
      </c>
      <c r="N48">
        <v>0</v>
      </c>
      <c r="O48">
        <v>0</v>
      </c>
      <c r="P48">
        <v>0</v>
      </c>
      <c r="Q48">
        <v>0</v>
      </c>
      <c r="R48">
        <v>0</v>
      </c>
      <c r="S48">
        <v>0</v>
      </c>
      <c r="T48">
        <v>0</v>
      </c>
      <c r="U48">
        <v>0</v>
      </c>
      <c r="V48">
        <v>0</v>
      </c>
      <c r="W48">
        <v>0.01652854274031406</v>
      </c>
      <c r="X48">
        <v>3.9999073431560026</v>
      </c>
      <c r="Z48">
        <v>0.007277154077492227</v>
      </c>
      <c r="AA48">
        <v>0</v>
      </c>
      <c r="AB48">
        <v>0</v>
      </c>
      <c r="AC48">
        <v>0</v>
      </c>
      <c r="AD48">
        <v>0</v>
      </c>
      <c r="AE48">
        <v>0</v>
      </c>
      <c r="AF48">
        <v>2.1575166302977478E-05</v>
      </c>
      <c r="AG48">
        <v>0</v>
      </c>
      <c r="AH48">
        <v>0</v>
      </c>
      <c r="AI48">
        <v>0</v>
      </c>
      <c r="AJ48">
        <v>0</v>
      </c>
      <c r="AK48">
        <v>0</v>
      </c>
      <c r="AL48">
        <v>0</v>
      </c>
      <c r="AM48">
        <v>0</v>
      </c>
      <c r="AN48">
        <v>0</v>
      </c>
      <c r="AO48">
        <v>0</v>
      </c>
      <c r="AP48">
        <v>0.007298729243795205</v>
      </c>
      <c r="AQ48">
        <v>0.9999305079035951</v>
      </c>
      <c r="AR48">
        <v>1</v>
      </c>
      <c r="AS48">
        <v>3.999629381209301</v>
      </c>
      <c r="AT48">
        <v>3.9999073431560026</v>
      </c>
      <c r="AU48">
        <v>2</v>
      </c>
      <c r="AV48">
        <v>0</v>
      </c>
      <c r="AW48">
        <v>0</v>
      </c>
      <c r="AX48" s="53">
        <f>100*(C52+C53+C54+C55+C60+C61+C62+C63)/C64</f>
        <v>93.80165289256199</v>
      </c>
      <c r="AY48" s="53">
        <f>100*(X52+X53+X54+X55+X60+X61+X62+X63)/X64</f>
        <v>93.37769606628471</v>
      </c>
      <c r="AZ48" s="53" t="s">
        <v>93</v>
      </c>
    </row>
    <row r="49" spans="2:52" ht="12.75">
      <c r="B49" t="s">
        <v>8</v>
      </c>
      <c r="C49">
        <v>4</v>
      </c>
      <c r="G49">
        <v>0</v>
      </c>
      <c r="H49">
        <v>0</v>
      </c>
      <c r="I49">
        <v>0</v>
      </c>
      <c r="J49">
        <v>0</v>
      </c>
      <c r="K49">
        <v>0</v>
      </c>
      <c r="L49">
        <v>0.013423400065992408</v>
      </c>
      <c r="M49">
        <v>0</v>
      </c>
      <c r="N49">
        <v>0</v>
      </c>
      <c r="O49">
        <v>0</v>
      </c>
      <c r="P49">
        <v>0</v>
      </c>
      <c r="Q49">
        <v>0</v>
      </c>
      <c r="R49">
        <v>0</v>
      </c>
      <c r="S49">
        <v>0</v>
      </c>
      <c r="T49">
        <v>0</v>
      </c>
      <c r="U49">
        <v>0</v>
      </c>
      <c r="V49">
        <v>8.37618696873616E-05</v>
      </c>
      <c r="W49">
        <v>0.01350716193567977</v>
      </c>
      <c r="X49">
        <v>3.268733188434504</v>
      </c>
      <c r="Z49">
        <v>0</v>
      </c>
      <c r="AA49">
        <v>0</v>
      </c>
      <c r="AB49">
        <v>0</v>
      </c>
      <c r="AC49">
        <v>0</v>
      </c>
      <c r="AD49">
        <v>0</v>
      </c>
      <c r="AE49">
        <v>0.00024193219975937057</v>
      </c>
      <c r="AF49">
        <v>0</v>
      </c>
      <c r="AG49">
        <v>0</v>
      </c>
      <c r="AH49">
        <v>0</v>
      </c>
      <c r="AI49">
        <v>0</v>
      </c>
      <c r="AJ49">
        <v>0</v>
      </c>
      <c r="AK49">
        <v>0</v>
      </c>
      <c r="AL49">
        <v>0</v>
      </c>
      <c r="AM49">
        <v>0</v>
      </c>
      <c r="AN49">
        <v>0</v>
      </c>
      <c r="AO49">
        <v>4.641444448464104E-08</v>
      </c>
      <c r="AP49">
        <v>0.0002419786142038552</v>
      </c>
      <c r="AQ49">
        <v>0.16359583938794192</v>
      </c>
      <c r="AR49">
        <v>1</v>
      </c>
      <c r="AS49">
        <v>0.5347511496971664</v>
      </c>
      <c r="AT49">
        <v>3.268733188434504</v>
      </c>
      <c r="AU49">
        <v>4</v>
      </c>
      <c r="AV49">
        <v>0</v>
      </c>
      <c r="AW49">
        <v>0</v>
      </c>
      <c r="AX49" s="53">
        <f>100*(C50+C51+C54+C55+C58+C59+C62+C63)/C64</f>
        <v>55.78512396694215</v>
      </c>
      <c r="AY49" s="53">
        <f>100*(X50+X51+X54+X55+X58+X59+X62+X63)/X64</f>
        <v>49.44553722312392</v>
      </c>
      <c r="AZ49" s="53" t="s">
        <v>94</v>
      </c>
    </row>
    <row r="50" spans="2:52" ht="12.75">
      <c r="B50" t="s">
        <v>9</v>
      </c>
      <c r="C50">
        <v>1</v>
      </c>
      <c r="G50">
        <v>0.014682479111104528</v>
      </c>
      <c r="H50">
        <v>0</v>
      </c>
      <c r="I50">
        <v>0</v>
      </c>
      <c r="J50">
        <v>0</v>
      </c>
      <c r="K50">
        <v>0</v>
      </c>
      <c r="L50">
        <v>0</v>
      </c>
      <c r="M50">
        <v>0.0012969262663851306</v>
      </c>
      <c r="N50">
        <v>0</v>
      </c>
      <c r="O50">
        <v>0</v>
      </c>
      <c r="P50">
        <v>0</v>
      </c>
      <c r="Q50">
        <v>0</v>
      </c>
      <c r="R50">
        <v>0</v>
      </c>
      <c r="S50">
        <v>0</v>
      </c>
      <c r="T50">
        <v>0</v>
      </c>
      <c r="U50">
        <v>0</v>
      </c>
      <c r="V50">
        <v>0</v>
      </c>
      <c r="W50">
        <v>0.01597940537748966</v>
      </c>
      <c r="X50">
        <v>3.8670161013524975</v>
      </c>
      <c r="Z50">
        <v>0.006716906390788273</v>
      </c>
      <c r="AA50">
        <v>0</v>
      </c>
      <c r="AB50">
        <v>0</v>
      </c>
      <c r="AC50">
        <v>0</v>
      </c>
      <c r="AD50">
        <v>0</v>
      </c>
      <c r="AE50">
        <v>0</v>
      </c>
      <c r="AF50">
        <v>2.3374720488826078E-05</v>
      </c>
      <c r="AG50">
        <v>0</v>
      </c>
      <c r="AH50">
        <v>0</v>
      </c>
      <c r="AI50">
        <v>0</v>
      </c>
      <c r="AJ50">
        <v>0</v>
      </c>
      <c r="AK50">
        <v>0</v>
      </c>
      <c r="AL50">
        <v>0</v>
      </c>
      <c r="AM50">
        <v>0</v>
      </c>
      <c r="AN50">
        <v>0</v>
      </c>
      <c r="AO50">
        <v>0</v>
      </c>
      <c r="AP50">
        <v>0.006740281111277099</v>
      </c>
      <c r="AQ50">
        <v>2.1256134212990703</v>
      </c>
      <c r="AR50">
        <v>1</v>
      </c>
      <c r="AS50">
        <v>8.219781325414475</v>
      </c>
      <c r="AT50">
        <v>3.8670161013524975</v>
      </c>
      <c r="AU50">
        <v>1</v>
      </c>
      <c r="AV50">
        <v>0</v>
      </c>
      <c r="AW50">
        <v>0</v>
      </c>
      <c r="AX50" s="53">
        <f>100*(C49+C51+C53+C55+C57+C59+C61+C63)/C64</f>
        <v>90.9090909090909</v>
      </c>
      <c r="AY50" s="53">
        <f>100*(X49+X51+X53+X55+X57+X59+X61+X63)/X64</f>
        <v>89.594674460652</v>
      </c>
      <c r="AZ50" s="53" t="s">
        <v>95</v>
      </c>
    </row>
    <row r="51" spans="2:52" ht="12.75">
      <c r="B51" t="s">
        <v>10</v>
      </c>
      <c r="C51">
        <v>2</v>
      </c>
      <c r="G51">
        <v>0</v>
      </c>
      <c r="H51">
        <v>0</v>
      </c>
      <c r="I51">
        <v>0</v>
      </c>
      <c r="J51">
        <v>0</v>
      </c>
      <c r="K51">
        <v>0</v>
      </c>
      <c r="L51">
        <v>0.012896337694495965</v>
      </c>
      <c r="M51">
        <v>0</v>
      </c>
      <c r="N51">
        <v>0</v>
      </c>
      <c r="O51">
        <v>0</v>
      </c>
      <c r="P51">
        <v>0</v>
      </c>
      <c r="Q51">
        <v>0</v>
      </c>
      <c r="R51">
        <v>0</v>
      </c>
      <c r="S51">
        <v>0</v>
      </c>
      <c r="T51">
        <v>0</v>
      </c>
      <c r="U51">
        <v>0</v>
      </c>
      <c r="V51">
        <v>8.718514618059725E-05</v>
      </c>
      <c r="W51">
        <v>0.012983522840676562</v>
      </c>
      <c r="X51">
        <v>3.142012527443728</v>
      </c>
      <c r="Z51">
        <v>0</v>
      </c>
      <c r="AA51">
        <v>0</v>
      </c>
      <c r="AB51">
        <v>0</v>
      </c>
      <c r="AC51">
        <v>0</v>
      </c>
      <c r="AD51">
        <v>0</v>
      </c>
      <c r="AE51">
        <v>0.0002233065180971382</v>
      </c>
      <c r="AF51">
        <v>0</v>
      </c>
      <c r="AG51">
        <v>0</v>
      </c>
      <c r="AH51">
        <v>0</v>
      </c>
      <c r="AI51">
        <v>0</v>
      </c>
      <c r="AJ51">
        <v>0</v>
      </c>
      <c r="AK51">
        <v>0</v>
      </c>
      <c r="AL51">
        <v>0</v>
      </c>
      <c r="AM51">
        <v>0</v>
      </c>
      <c r="AN51">
        <v>0</v>
      </c>
      <c r="AO51">
        <v>5.0285807823548256E-08</v>
      </c>
      <c r="AP51">
        <v>0.00022335680390496174</v>
      </c>
      <c r="AQ51">
        <v>0.4150819264554219</v>
      </c>
      <c r="AR51">
        <v>1</v>
      </c>
      <c r="AS51">
        <v>1.3041926128384118</v>
      </c>
      <c r="AT51">
        <v>3.142012527443728</v>
      </c>
      <c r="AU51">
        <v>2</v>
      </c>
      <c r="AV51">
        <v>0</v>
      </c>
      <c r="AW51">
        <v>0</v>
      </c>
      <c r="AX51" s="53">
        <f>100*(C56+C57+C58+C59+C60+C61+C62+C63)/C64</f>
        <v>19.00826446280992</v>
      </c>
      <c r="AY51" s="53">
        <f>100*(X56+X57+X58+X59+X60+X61+X62+X63)/X64</f>
        <v>17.279541801981956</v>
      </c>
      <c r="AZ51" s="53" t="s">
        <v>96</v>
      </c>
    </row>
    <row r="52" spans="2:49" ht="12.75">
      <c r="B52" t="s">
        <v>11</v>
      </c>
      <c r="C52">
        <v>4</v>
      </c>
      <c r="G52">
        <v>0.0005784430771275474</v>
      </c>
      <c r="H52">
        <v>0</v>
      </c>
      <c r="I52">
        <v>0</v>
      </c>
      <c r="J52">
        <v>0</v>
      </c>
      <c r="K52">
        <v>0</v>
      </c>
      <c r="L52">
        <v>0</v>
      </c>
      <c r="M52">
        <v>0.032919562127707275</v>
      </c>
      <c r="N52">
        <v>0</v>
      </c>
      <c r="O52">
        <v>0</v>
      </c>
      <c r="P52">
        <v>0</v>
      </c>
      <c r="Q52">
        <v>0</v>
      </c>
      <c r="R52">
        <v>0</v>
      </c>
      <c r="S52">
        <v>0</v>
      </c>
      <c r="T52">
        <v>0</v>
      </c>
      <c r="U52">
        <v>0</v>
      </c>
      <c r="V52">
        <v>0</v>
      </c>
      <c r="W52">
        <v>0.03349800520483482</v>
      </c>
      <c r="X52">
        <v>8.106517259570026</v>
      </c>
      <c r="Z52">
        <v>1.0425376983256929E-05</v>
      </c>
      <c r="AA52">
        <v>0</v>
      </c>
      <c r="AB52">
        <v>0</v>
      </c>
      <c r="AC52">
        <v>0</v>
      </c>
      <c r="AD52">
        <v>0</v>
      </c>
      <c r="AE52">
        <v>0</v>
      </c>
      <c r="AF52">
        <v>0.015059964707888791</v>
      </c>
      <c r="AG52">
        <v>0</v>
      </c>
      <c r="AH52">
        <v>0</v>
      </c>
      <c r="AI52">
        <v>0</v>
      </c>
      <c r="AJ52">
        <v>0</v>
      </c>
      <c r="AK52">
        <v>0</v>
      </c>
      <c r="AL52">
        <v>0</v>
      </c>
      <c r="AM52">
        <v>0</v>
      </c>
      <c r="AN52">
        <v>0</v>
      </c>
      <c r="AO52">
        <v>0</v>
      </c>
      <c r="AP52">
        <v>0.015070390084872048</v>
      </c>
      <c r="AQ52">
        <v>2.080237846066211</v>
      </c>
      <c r="AR52">
        <v>0</v>
      </c>
      <c r="AS52">
        <v>16.863484003146517</v>
      </c>
      <c r="AT52">
        <v>0</v>
      </c>
      <c r="AU52">
        <v>0</v>
      </c>
      <c r="AV52">
        <v>2.080237846066211</v>
      </c>
      <c r="AW52">
        <v>1</v>
      </c>
    </row>
    <row r="53" spans="2:49" ht="12.75">
      <c r="B53" t="s">
        <v>12</v>
      </c>
      <c r="C53" s="49">
        <v>80</v>
      </c>
      <c r="G53">
        <v>0</v>
      </c>
      <c r="H53">
        <v>0</v>
      </c>
      <c r="I53">
        <v>0</v>
      </c>
      <c r="J53">
        <v>0</v>
      </c>
      <c r="K53">
        <v>0</v>
      </c>
      <c r="L53">
        <v>0.35464793464835814</v>
      </c>
      <c r="M53">
        <v>0</v>
      </c>
      <c r="N53">
        <v>0</v>
      </c>
      <c r="O53">
        <v>0</v>
      </c>
      <c r="P53">
        <v>0</v>
      </c>
      <c r="Q53">
        <v>0</v>
      </c>
      <c r="R53">
        <v>0</v>
      </c>
      <c r="S53">
        <v>0</v>
      </c>
      <c r="T53">
        <v>0</v>
      </c>
      <c r="U53">
        <v>0</v>
      </c>
      <c r="V53">
        <v>0.002212999235727652</v>
      </c>
      <c r="W53">
        <v>0.3568609338840858</v>
      </c>
      <c r="X53">
        <v>86.36034599994876</v>
      </c>
      <c r="Z53">
        <v>0</v>
      </c>
      <c r="AA53">
        <v>0</v>
      </c>
      <c r="AB53">
        <v>0</v>
      </c>
      <c r="AC53">
        <v>0</v>
      </c>
      <c r="AD53">
        <v>0</v>
      </c>
      <c r="AE53">
        <v>0.16887426678028442</v>
      </c>
      <c r="AF53">
        <v>0</v>
      </c>
      <c r="AG53">
        <v>0</v>
      </c>
      <c r="AH53">
        <v>0</v>
      </c>
      <c r="AI53">
        <v>0</v>
      </c>
      <c r="AJ53">
        <v>0</v>
      </c>
      <c r="AK53">
        <v>0</v>
      </c>
      <c r="AL53">
        <v>0</v>
      </c>
      <c r="AM53">
        <v>0</v>
      </c>
      <c r="AN53">
        <v>0</v>
      </c>
      <c r="AO53">
        <v>3.2398354944707534E-05</v>
      </c>
      <c r="AP53">
        <v>0.16890666513522912</v>
      </c>
      <c r="AQ53">
        <v>0.46843259797833864</v>
      </c>
      <c r="AR53">
        <v>0</v>
      </c>
      <c r="AS53">
        <v>40.454001239064226</v>
      </c>
      <c r="AT53">
        <v>0</v>
      </c>
      <c r="AU53">
        <v>0</v>
      </c>
      <c r="AV53">
        <v>0.46843259797833864</v>
      </c>
      <c r="AW53">
        <v>1</v>
      </c>
    </row>
    <row r="54" spans="2:49" ht="12.75">
      <c r="B54" t="s">
        <v>13</v>
      </c>
      <c r="C54">
        <v>11</v>
      </c>
      <c r="G54">
        <v>0.0005557308299690251</v>
      </c>
      <c r="H54">
        <v>0</v>
      </c>
      <c r="I54">
        <v>0</v>
      </c>
      <c r="J54">
        <v>0</v>
      </c>
      <c r="K54">
        <v>0</v>
      </c>
      <c r="L54">
        <v>0</v>
      </c>
      <c r="M54">
        <v>0.03426495668038396</v>
      </c>
      <c r="N54">
        <v>0</v>
      </c>
      <c r="O54">
        <v>0</v>
      </c>
      <c r="P54">
        <v>0</v>
      </c>
      <c r="Q54">
        <v>0</v>
      </c>
      <c r="R54">
        <v>0</v>
      </c>
      <c r="S54">
        <v>0</v>
      </c>
      <c r="T54">
        <v>0</v>
      </c>
      <c r="U54">
        <v>0</v>
      </c>
      <c r="V54">
        <v>0</v>
      </c>
      <c r="W54">
        <v>0.034820687510352985</v>
      </c>
      <c r="X54">
        <v>8.426606377505422</v>
      </c>
      <c r="Z54">
        <v>9.622756442907021E-06</v>
      </c>
      <c r="AA54">
        <v>0</v>
      </c>
      <c r="AB54">
        <v>0</v>
      </c>
      <c r="AC54">
        <v>0</v>
      </c>
      <c r="AD54">
        <v>0</v>
      </c>
      <c r="AE54">
        <v>0</v>
      </c>
      <c r="AF54">
        <v>0.01631609511950343</v>
      </c>
      <c r="AG54">
        <v>0</v>
      </c>
      <c r="AH54">
        <v>0</v>
      </c>
      <c r="AI54">
        <v>0</v>
      </c>
      <c r="AJ54">
        <v>0</v>
      </c>
      <c r="AK54">
        <v>0</v>
      </c>
      <c r="AL54">
        <v>0</v>
      </c>
      <c r="AM54">
        <v>0</v>
      </c>
      <c r="AN54">
        <v>0</v>
      </c>
      <c r="AO54">
        <v>0</v>
      </c>
      <c r="AP54">
        <v>0.016325717875946336</v>
      </c>
      <c r="AQ54">
        <v>0.7858863271427923</v>
      </c>
      <c r="AR54">
        <v>0</v>
      </c>
      <c r="AS54">
        <v>6.622354736295766</v>
      </c>
      <c r="AT54">
        <v>0</v>
      </c>
      <c r="AU54">
        <v>0</v>
      </c>
      <c r="AV54">
        <v>0.7858863271427923</v>
      </c>
      <c r="AW54">
        <v>1</v>
      </c>
    </row>
    <row r="55" spans="1:49" ht="12.75">
      <c r="A55" t="s">
        <v>4</v>
      </c>
      <c r="B55" t="s">
        <v>14</v>
      </c>
      <c r="C55" s="49">
        <v>92</v>
      </c>
      <c r="G55">
        <v>0</v>
      </c>
      <c r="H55">
        <v>0</v>
      </c>
      <c r="I55">
        <v>0</v>
      </c>
      <c r="J55">
        <v>0</v>
      </c>
      <c r="K55">
        <v>0</v>
      </c>
      <c r="L55">
        <v>0.34072287985127764</v>
      </c>
      <c r="M55">
        <v>0</v>
      </c>
      <c r="N55">
        <v>0</v>
      </c>
      <c r="O55">
        <v>0</v>
      </c>
      <c r="P55">
        <v>0</v>
      </c>
      <c r="Q55">
        <v>0</v>
      </c>
      <c r="R55">
        <v>0</v>
      </c>
      <c r="S55">
        <v>0</v>
      </c>
      <c r="T55">
        <v>0</v>
      </c>
      <c r="U55">
        <v>0</v>
      </c>
      <c r="V55">
        <v>0.0023034426354689775</v>
      </c>
      <c r="W55">
        <v>0.34302632248674664</v>
      </c>
      <c r="X55">
        <v>83.01237004179269</v>
      </c>
      <c r="Z55">
        <v>0</v>
      </c>
      <c r="AA55">
        <v>0</v>
      </c>
      <c r="AB55">
        <v>0</v>
      </c>
      <c r="AC55">
        <v>0</v>
      </c>
      <c r="AD55">
        <v>0</v>
      </c>
      <c r="AE55">
        <v>0.15587311051782354</v>
      </c>
      <c r="AF55">
        <v>0</v>
      </c>
      <c r="AG55">
        <v>0</v>
      </c>
      <c r="AH55">
        <v>0</v>
      </c>
      <c r="AI55">
        <v>0</v>
      </c>
      <c r="AJ55">
        <v>0</v>
      </c>
      <c r="AK55">
        <v>0</v>
      </c>
      <c r="AL55">
        <v>0</v>
      </c>
      <c r="AM55">
        <v>0</v>
      </c>
      <c r="AN55">
        <v>0</v>
      </c>
      <c r="AO55">
        <v>3.510065602719378E-05</v>
      </c>
      <c r="AP55">
        <v>0.15590821117385073</v>
      </c>
      <c r="AQ55">
        <v>0.97307777413171</v>
      </c>
      <c r="AR55">
        <v>0</v>
      </c>
      <c r="AS55">
        <v>80.77749226566549</v>
      </c>
      <c r="AT55">
        <v>0</v>
      </c>
      <c r="AU55">
        <v>0</v>
      </c>
      <c r="AV55">
        <v>0.97307777413171</v>
      </c>
      <c r="AW55">
        <v>1</v>
      </c>
    </row>
    <row r="56" spans="2:49" ht="12.75">
      <c r="B56" t="s">
        <v>7</v>
      </c>
      <c r="C56">
        <v>1</v>
      </c>
      <c r="G56">
        <v>0.000489065828997026</v>
      </c>
      <c r="H56">
        <v>0</v>
      </c>
      <c r="I56">
        <v>0</v>
      </c>
      <c r="J56">
        <v>0</v>
      </c>
      <c r="K56">
        <v>0</v>
      </c>
      <c r="L56">
        <v>0</v>
      </c>
      <c r="M56">
        <v>3.9874104228479964E-05</v>
      </c>
      <c r="N56">
        <v>0</v>
      </c>
      <c r="O56">
        <v>0</v>
      </c>
      <c r="P56">
        <v>0</v>
      </c>
      <c r="Q56">
        <v>0</v>
      </c>
      <c r="R56">
        <v>0</v>
      </c>
      <c r="S56">
        <v>0</v>
      </c>
      <c r="T56">
        <v>0</v>
      </c>
      <c r="U56">
        <v>0</v>
      </c>
      <c r="V56">
        <v>0</v>
      </c>
      <c r="W56">
        <v>0.000528939933225506</v>
      </c>
      <c r="X56">
        <v>0.12800346384057243</v>
      </c>
      <c r="Z56">
        <v>7.452554352317918E-06</v>
      </c>
      <c r="AA56">
        <v>0</v>
      </c>
      <c r="AB56">
        <v>0</v>
      </c>
      <c r="AC56">
        <v>0</v>
      </c>
      <c r="AD56">
        <v>0</v>
      </c>
      <c r="AE56">
        <v>0</v>
      </c>
      <c r="AF56">
        <v>2.2095189660825133E-08</v>
      </c>
      <c r="AG56">
        <v>0</v>
      </c>
      <c r="AH56">
        <v>0</v>
      </c>
      <c r="AI56">
        <v>0</v>
      </c>
      <c r="AJ56">
        <v>0</v>
      </c>
      <c r="AK56">
        <v>0</v>
      </c>
      <c r="AL56">
        <v>0</v>
      </c>
      <c r="AM56">
        <v>0</v>
      </c>
      <c r="AN56">
        <v>0</v>
      </c>
      <c r="AO56">
        <v>0</v>
      </c>
      <c r="AP56">
        <v>7.474649541978743E-06</v>
      </c>
      <c r="AQ56">
        <v>5.940292053511038</v>
      </c>
      <c r="AR56">
        <v>1</v>
      </c>
      <c r="AS56">
        <v>0.7603779590740398</v>
      </c>
      <c r="AT56">
        <v>0.12800346384057243</v>
      </c>
      <c r="AU56">
        <v>1</v>
      </c>
      <c r="AV56">
        <v>0</v>
      </c>
      <c r="AW56">
        <v>0</v>
      </c>
    </row>
    <row r="57" spans="2:49" ht="12.75">
      <c r="B57" t="s">
        <v>15</v>
      </c>
      <c r="C57">
        <v>4</v>
      </c>
      <c r="G57">
        <v>0</v>
      </c>
      <c r="H57">
        <v>0</v>
      </c>
      <c r="I57">
        <v>0</v>
      </c>
      <c r="J57">
        <v>0</v>
      </c>
      <c r="K57">
        <v>0</v>
      </c>
      <c r="L57">
        <v>0.00042957037690004887</v>
      </c>
      <c r="M57">
        <v>0</v>
      </c>
      <c r="N57">
        <v>0</v>
      </c>
      <c r="O57">
        <v>0</v>
      </c>
      <c r="P57">
        <v>0</v>
      </c>
      <c r="Q57">
        <v>0</v>
      </c>
      <c r="R57">
        <v>0</v>
      </c>
      <c r="S57">
        <v>0</v>
      </c>
      <c r="T57">
        <v>0</v>
      </c>
      <c r="U57">
        <v>0</v>
      </c>
      <c r="V57">
        <v>0.0026174269631972133</v>
      </c>
      <c r="W57">
        <v>0.003046997340097262</v>
      </c>
      <c r="X57">
        <v>0.7373733563035374</v>
      </c>
      <c r="Z57">
        <v>0</v>
      </c>
      <c r="AA57">
        <v>0</v>
      </c>
      <c r="AB57">
        <v>0</v>
      </c>
      <c r="AC57">
        <v>0</v>
      </c>
      <c r="AD57">
        <v>0</v>
      </c>
      <c r="AE57">
        <v>2.477634593252806E-07</v>
      </c>
      <c r="AF57">
        <v>0</v>
      </c>
      <c r="AG57">
        <v>0</v>
      </c>
      <c r="AH57">
        <v>0</v>
      </c>
      <c r="AI57">
        <v>0</v>
      </c>
      <c r="AJ57">
        <v>0</v>
      </c>
      <c r="AK57">
        <v>0</v>
      </c>
      <c r="AL57">
        <v>0</v>
      </c>
      <c r="AM57">
        <v>0</v>
      </c>
      <c r="AN57">
        <v>0</v>
      </c>
      <c r="AO57">
        <v>4.5322053079812746E-05</v>
      </c>
      <c r="AP57">
        <v>4.5569816539138025E-05</v>
      </c>
      <c r="AQ57">
        <v>14.436014707013868</v>
      </c>
      <c r="AR57">
        <v>1</v>
      </c>
      <c r="AS57">
        <v>10.644732616158043</v>
      </c>
      <c r="AT57">
        <v>0.7373733563035374</v>
      </c>
      <c r="AU57">
        <v>4</v>
      </c>
      <c r="AV57">
        <v>0</v>
      </c>
      <c r="AW57">
        <v>0</v>
      </c>
    </row>
    <row r="58" spans="2:49" ht="12.75">
      <c r="B58" t="s">
        <v>16</v>
      </c>
      <c r="C58">
        <v>0</v>
      </c>
      <c r="G58">
        <v>0.0004698629300011085</v>
      </c>
      <c r="H58">
        <v>0</v>
      </c>
      <c r="I58">
        <v>0</v>
      </c>
      <c r="J58">
        <v>0</v>
      </c>
      <c r="K58">
        <v>0</v>
      </c>
      <c r="L58">
        <v>0</v>
      </c>
      <c r="M58">
        <v>4.150372501182286E-05</v>
      </c>
      <c r="N58">
        <v>0</v>
      </c>
      <c r="O58">
        <v>0</v>
      </c>
      <c r="P58">
        <v>0</v>
      </c>
      <c r="Q58">
        <v>0</v>
      </c>
      <c r="R58">
        <v>0</v>
      </c>
      <c r="S58">
        <v>0</v>
      </c>
      <c r="T58">
        <v>0</v>
      </c>
      <c r="U58">
        <v>0</v>
      </c>
      <c r="V58">
        <v>0</v>
      </c>
      <c r="W58">
        <v>0.0005113666550129313</v>
      </c>
      <c r="X58">
        <v>0.12375073051312939</v>
      </c>
      <c r="Z58">
        <v>6.878803090291536E-06</v>
      </c>
      <c r="AA58">
        <v>0</v>
      </c>
      <c r="AB58">
        <v>0</v>
      </c>
      <c r="AC58">
        <v>0</v>
      </c>
      <c r="AD58">
        <v>0</v>
      </c>
      <c r="AE58">
        <v>0</v>
      </c>
      <c r="AF58">
        <v>2.393811826136942E-08</v>
      </c>
      <c r="AG58">
        <v>0</v>
      </c>
      <c r="AH58">
        <v>0</v>
      </c>
      <c r="AI58">
        <v>0</v>
      </c>
      <c r="AJ58">
        <v>0</v>
      </c>
      <c r="AK58">
        <v>0</v>
      </c>
      <c r="AL58">
        <v>0</v>
      </c>
      <c r="AM58">
        <v>0</v>
      </c>
      <c r="AN58">
        <v>0</v>
      </c>
      <c r="AO58">
        <v>0</v>
      </c>
      <c r="AP58">
        <v>6.902741208552905E-06</v>
      </c>
      <c r="AQ58">
        <v>0.12375073051312939</v>
      </c>
      <c r="AR58">
        <v>1</v>
      </c>
      <c r="AS58">
        <v>0.015314243302533174</v>
      </c>
      <c r="AT58">
        <v>0.12375073051312939</v>
      </c>
      <c r="AU58">
        <v>0</v>
      </c>
      <c r="AV58">
        <v>0</v>
      </c>
      <c r="AW58">
        <v>0</v>
      </c>
    </row>
    <row r="59" spans="2:49" ht="12.75">
      <c r="B59" t="s">
        <v>17</v>
      </c>
      <c r="C59">
        <v>1</v>
      </c>
      <c r="G59">
        <v>0</v>
      </c>
      <c r="H59">
        <v>0</v>
      </c>
      <c r="I59">
        <v>0</v>
      </c>
      <c r="J59">
        <v>0</v>
      </c>
      <c r="K59">
        <v>0</v>
      </c>
      <c r="L59">
        <v>0.00041270353389004567</v>
      </c>
      <c r="M59">
        <v>0</v>
      </c>
      <c r="N59">
        <v>0</v>
      </c>
      <c r="O59">
        <v>0</v>
      </c>
      <c r="P59">
        <v>0</v>
      </c>
      <c r="Q59">
        <v>0</v>
      </c>
      <c r="R59">
        <v>0</v>
      </c>
      <c r="S59">
        <v>0</v>
      </c>
      <c r="T59">
        <v>0</v>
      </c>
      <c r="U59">
        <v>0</v>
      </c>
      <c r="V59">
        <v>0.002724398980766995</v>
      </c>
      <c r="W59">
        <v>0.0031371025146570406</v>
      </c>
      <c r="X59">
        <v>0.7591788085470038</v>
      </c>
      <c r="Z59">
        <v>0</v>
      </c>
      <c r="AA59">
        <v>0</v>
      </c>
      <c r="AB59">
        <v>0</v>
      </c>
      <c r="AC59">
        <v>0</v>
      </c>
      <c r="AD59">
        <v>0</v>
      </c>
      <c r="AE59">
        <v>2.286888453403871E-07</v>
      </c>
      <c r="AF59">
        <v>0</v>
      </c>
      <c r="AG59">
        <v>0</v>
      </c>
      <c r="AH59">
        <v>0</v>
      </c>
      <c r="AI59">
        <v>0</v>
      </c>
      <c r="AJ59">
        <v>0</v>
      </c>
      <c r="AK59">
        <v>0</v>
      </c>
      <c r="AL59">
        <v>0</v>
      </c>
      <c r="AM59">
        <v>0</v>
      </c>
      <c r="AN59">
        <v>0</v>
      </c>
      <c r="AO59">
        <v>4.910230159264918E-05</v>
      </c>
      <c r="AP59">
        <v>4.933099043798957E-05</v>
      </c>
      <c r="AQ59">
        <v>0.07639155044888209</v>
      </c>
      <c r="AR59">
        <v>1</v>
      </c>
      <c r="AS59">
        <v>0.05799484625284064</v>
      </c>
      <c r="AT59">
        <v>0.7591788085470038</v>
      </c>
      <c r="AU59">
        <v>1</v>
      </c>
      <c r="AV59">
        <v>0</v>
      </c>
      <c r="AW59">
        <v>0</v>
      </c>
    </row>
    <row r="60" spans="2:49" ht="12.75">
      <c r="B60" t="s">
        <v>18</v>
      </c>
      <c r="C60">
        <v>0</v>
      </c>
      <c r="G60">
        <v>1.8511108171946897E-05</v>
      </c>
      <c r="H60">
        <v>0</v>
      </c>
      <c r="I60">
        <v>0</v>
      </c>
      <c r="J60">
        <v>0</v>
      </c>
      <c r="K60">
        <v>0</v>
      </c>
      <c r="L60">
        <v>0</v>
      </c>
      <c r="M60">
        <v>0.0010534788981228435</v>
      </c>
      <c r="N60">
        <v>0</v>
      </c>
      <c r="O60">
        <v>0</v>
      </c>
      <c r="P60">
        <v>0</v>
      </c>
      <c r="Q60">
        <v>0</v>
      </c>
      <c r="R60">
        <v>0</v>
      </c>
      <c r="S60">
        <v>0</v>
      </c>
      <c r="T60">
        <v>0</v>
      </c>
      <c r="U60">
        <v>0</v>
      </c>
      <c r="V60">
        <v>0</v>
      </c>
      <c r="W60">
        <v>0.0010719900062947903</v>
      </c>
      <c r="X60">
        <v>0.2594215815233393</v>
      </c>
      <c r="Z60">
        <v>1.0676658455182951E-08</v>
      </c>
      <c r="AA60">
        <v>0</v>
      </c>
      <c r="AB60">
        <v>0</v>
      </c>
      <c r="AC60">
        <v>0</v>
      </c>
      <c r="AD60">
        <v>0</v>
      </c>
      <c r="AE60">
        <v>0</v>
      </c>
      <c r="AF60">
        <v>1.5422953030040575E-05</v>
      </c>
      <c r="AG60">
        <v>0</v>
      </c>
      <c r="AH60">
        <v>0</v>
      </c>
      <c r="AI60">
        <v>0</v>
      </c>
      <c r="AJ60">
        <v>0</v>
      </c>
      <c r="AK60">
        <v>0</v>
      </c>
      <c r="AL60">
        <v>0</v>
      </c>
      <c r="AM60">
        <v>0</v>
      </c>
      <c r="AN60">
        <v>0</v>
      </c>
      <c r="AO60">
        <v>0</v>
      </c>
      <c r="AP60">
        <v>1.543362968849576E-05</v>
      </c>
      <c r="AQ60">
        <v>0.2594215815233393</v>
      </c>
      <c r="AR60">
        <v>1</v>
      </c>
      <c r="AS60">
        <v>0.06729955696007056</v>
      </c>
      <c r="AT60">
        <v>0.2594215815233393</v>
      </c>
      <c r="AU60">
        <v>0</v>
      </c>
      <c r="AV60">
        <v>0</v>
      </c>
      <c r="AW60">
        <v>0</v>
      </c>
    </row>
    <row r="61" spans="2:49" ht="12.75">
      <c r="B61" t="s">
        <v>19</v>
      </c>
      <c r="C61">
        <v>12</v>
      </c>
      <c r="G61">
        <v>0</v>
      </c>
      <c r="H61">
        <v>0</v>
      </c>
      <c r="I61">
        <v>0</v>
      </c>
      <c r="J61">
        <v>0</v>
      </c>
      <c r="K61">
        <v>0</v>
      </c>
      <c r="L61">
        <v>0.011349303917394341</v>
      </c>
      <c r="M61">
        <v>0</v>
      </c>
      <c r="N61">
        <v>0</v>
      </c>
      <c r="O61">
        <v>0</v>
      </c>
      <c r="P61">
        <v>0</v>
      </c>
      <c r="Q61">
        <v>0</v>
      </c>
      <c r="R61">
        <v>0</v>
      </c>
      <c r="S61">
        <v>0</v>
      </c>
      <c r="T61">
        <v>0</v>
      </c>
      <c r="U61">
        <v>0</v>
      </c>
      <c r="V61">
        <v>0.06915275280683428</v>
      </c>
      <c r="W61">
        <v>0.08050205672422862</v>
      </c>
      <c r="X61">
        <v>19.481497727263328</v>
      </c>
      <c r="Z61">
        <v>0</v>
      </c>
      <c r="AA61">
        <v>0</v>
      </c>
      <c r="AB61">
        <v>0</v>
      </c>
      <c r="AC61">
        <v>0</v>
      </c>
      <c r="AD61">
        <v>0</v>
      </c>
      <c r="AE61">
        <v>0.00017294462072481114</v>
      </c>
      <c r="AF61">
        <v>0</v>
      </c>
      <c r="AG61">
        <v>0</v>
      </c>
      <c r="AH61">
        <v>0</v>
      </c>
      <c r="AI61">
        <v>0</v>
      </c>
      <c r="AJ61">
        <v>0</v>
      </c>
      <c r="AK61">
        <v>0</v>
      </c>
      <c r="AL61">
        <v>0</v>
      </c>
      <c r="AM61">
        <v>0</v>
      </c>
      <c r="AN61">
        <v>0</v>
      </c>
      <c r="AO61">
        <v>0.03163584049763952</v>
      </c>
      <c r="AP61">
        <v>0.03180878511836433</v>
      </c>
      <c r="AQ61">
        <v>2.873126544306465</v>
      </c>
      <c r="AR61">
        <v>0</v>
      </c>
      <c r="AS61">
        <v>55.97280824304634</v>
      </c>
      <c r="AT61">
        <v>0</v>
      </c>
      <c r="AU61">
        <v>0</v>
      </c>
      <c r="AV61">
        <v>2.873126544306465</v>
      </c>
      <c r="AW61">
        <v>1</v>
      </c>
    </row>
    <row r="62" spans="2:49" ht="12.75">
      <c r="B62" t="s">
        <v>20</v>
      </c>
      <c r="C62">
        <v>3</v>
      </c>
      <c r="G62">
        <v>1.7784279758566652E-05</v>
      </c>
      <c r="H62">
        <v>0</v>
      </c>
      <c r="I62">
        <v>0</v>
      </c>
      <c r="J62">
        <v>0</v>
      </c>
      <c r="K62">
        <v>0</v>
      </c>
      <c r="L62">
        <v>0</v>
      </c>
      <c r="M62">
        <v>0.001096533686196752</v>
      </c>
      <c r="N62">
        <v>0</v>
      </c>
      <c r="O62">
        <v>0</v>
      </c>
      <c r="P62">
        <v>0</v>
      </c>
      <c r="Q62">
        <v>0</v>
      </c>
      <c r="R62">
        <v>0</v>
      </c>
      <c r="S62">
        <v>0</v>
      </c>
      <c r="T62">
        <v>0</v>
      </c>
      <c r="U62">
        <v>0</v>
      </c>
      <c r="V62">
        <v>0</v>
      </c>
      <c r="W62">
        <v>0.0011143179659553186</v>
      </c>
      <c r="X62">
        <v>0.2696649477611871</v>
      </c>
      <c r="Z62">
        <v>9.854692458922809E-09</v>
      </c>
      <c r="AA62">
        <v>0</v>
      </c>
      <c r="AB62">
        <v>0</v>
      </c>
      <c r="AC62">
        <v>0</v>
      </c>
      <c r="AD62">
        <v>0</v>
      </c>
      <c r="AE62">
        <v>0</v>
      </c>
      <c r="AF62">
        <v>1.6709359785548436E-05</v>
      </c>
      <c r="AG62">
        <v>0</v>
      </c>
      <c r="AH62">
        <v>0</v>
      </c>
      <c r="AI62">
        <v>0</v>
      </c>
      <c r="AJ62">
        <v>0</v>
      </c>
      <c r="AK62">
        <v>0</v>
      </c>
      <c r="AL62">
        <v>0</v>
      </c>
      <c r="AM62">
        <v>0</v>
      </c>
      <c r="AN62">
        <v>0</v>
      </c>
      <c r="AO62">
        <v>0</v>
      </c>
      <c r="AP62">
        <v>1.671921447800736E-05</v>
      </c>
      <c r="AQ62">
        <v>27.644414149390172</v>
      </c>
      <c r="AR62">
        <v>1</v>
      </c>
      <c r="AS62">
        <v>7.454729497483922</v>
      </c>
      <c r="AT62">
        <v>0.2696649477611871</v>
      </c>
      <c r="AU62">
        <v>3</v>
      </c>
      <c r="AV62">
        <v>0</v>
      </c>
      <c r="AW62">
        <v>0</v>
      </c>
    </row>
    <row r="63" spans="2:49" ht="12.75">
      <c r="B63" t="s">
        <v>21</v>
      </c>
      <c r="C63" s="49">
        <v>25</v>
      </c>
      <c r="G63">
        <v>0</v>
      </c>
      <c r="H63">
        <v>0</v>
      </c>
      <c r="I63">
        <v>0</v>
      </c>
      <c r="J63">
        <v>0</v>
      </c>
      <c r="K63">
        <v>0</v>
      </c>
      <c r="L63">
        <v>0.010903679782813841</v>
      </c>
      <c r="M63">
        <v>0</v>
      </c>
      <c r="N63">
        <v>0</v>
      </c>
      <c r="O63">
        <v>0</v>
      </c>
      <c r="P63">
        <v>0</v>
      </c>
      <c r="Q63">
        <v>0</v>
      </c>
      <c r="R63">
        <v>0</v>
      </c>
      <c r="S63">
        <v>0</v>
      </c>
      <c r="T63">
        <v>0</v>
      </c>
      <c r="U63">
        <v>0</v>
      </c>
      <c r="V63">
        <v>0.07197896709753425</v>
      </c>
      <c r="W63">
        <v>0.08288264688034809</v>
      </c>
      <c r="X63">
        <v>20.057600545044238</v>
      </c>
      <c r="Z63">
        <v>0</v>
      </c>
      <c r="AA63">
        <v>0</v>
      </c>
      <c r="AB63">
        <v>0</v>
      </c>
      <c r="AC63">
        <v>0</v>
      </c>
      <c r="AD63">
        <v>0</v>
      </c>
      <c r="AE63">
        <v>0.0001596300993257592</v>
      </c>
      <c r="AF63">
        <v>0</v>
      </c>
      <c r="AG63">
        <v>0</v>
      </c>
      <c r="AH63">
        <v>0</v>
      </c>
      <c r="AI63">
        <v>0</v>
      </c>
      <c r="AJ63">
        <v>0</v>
      </c>
      <c r="AK63">
        <v>0</v>
      </c>
      <c r="AL63">
        <v>0</v>
      </c>
      <c r="AM63">
        <v>0</v>
      </c>
      <c r="AN63">
        <v>0</v>
      </c>
      <c r="AO63">
        <v>0.0342745413257536</v>
      </c>
      <c r="AP63">
        <v>0.03443417142507936</v>
      </c>
      <c r="AQ63">
        <v>1.2178581539446616</v>
      </c>
      <c r="AR63">
        <v>0</v>
      </c>
      <c r="AS63">
        <v>24.427312372347014</v>
      </c>
      <c r="AT63">
        <v>0</v>
      </c>
      <c r="AU63">
        <v>0</v>
      </c>
      <c r="AV63">
        <v>1.2178581539446616</v>
      </c>
      <c r="AW63">
        <v>1</v>
      </c>
    </row>
    <row r="64" spans="3:50" ht="12.75">
      <c r="C64">
        <v>242</v>
      </c>
      <c r="D64">
        <v>0</v>
      </c>
      <c r="E64">
        <v>0</v>
      </c>
      <c r="F64">
        <v>0</v>
      </c>
      <c r="G64">
        <v>0.03209441673084291</v>
      </c>
      <c r="H64">
        <v>0</v>
      </c>
      <c r="I64">
        <v>0</v>
      </c>
      <c r="J64">
        <v>0</v>
      </c>
      <c r="K64">
        <v>0</v>
      </c>
      <c r="L64">
        <v>0.7447858098711223</v>
      </c>
      <c r="M64">
        <v>0.07195883866263716</v>
      </c>
      <c r="N64">
        <v>0</v>
      </c>
      <c r="O64">
        <v>0</v>
      </c>
      <c r="P64">
        <v>0</v>
      </c>
      <c r="Q64">
        <v>0</v>
      </c>
      <c r="R64">
        <v>0</v>
      </c>
      <c r="S64">
        <v>0</v>
      </c>
      <c r="T64">
        <v>0</v>
      </c>
      <c r="U64">
        <v>0</v>
      </c>
      <c r="V64">
        <v>0.15116093473539732</v>
      </c>
      <c r="W64">
        <v>1</v>
      </c>
      <c r="X64">
        <v>242</v>
      </c>
      <c r="Z64">
        <v>0.014028460490500189</v>
      </c>
      <c r="AA64">
        <v>0</v>
      </c>
      <c r="AB64">
        <v>0</v>
      </c>
      <c r="AC64">
        <v>0</v>
      </c>
      <c r="AD64">
        <v>0</v>
      </c>
      <c r="AE64">
        <v>0.3255456671883197</v>
      </c>
      <c r="AF64">
        <v>0.03145318806030753</v>
      </c>
      <c r="AG64">
        <v>0</v>
      </c>
      <c r="AH64">
        <v>0</v>
      </c>
      <c r="AI64">
        <v>0</v>
      </c>
      <c r="AJ64">
        <v>0</v>
      </c>
      <c r="AK64">
        <v>0</v>
      </c>
      <c r="AL64">
        <v>0</v>
      </c>
      <c r="AM64">
        <v>0</v>
      </c>
      <c r="AN64">
        <v>0</v>
      </c>
      <c r="AO64">
        <v>0.06607240188928978</v>
      </c>
      <c r="AP64">
        <v>0.43709971762841715</v>
      </c>
      <c r="AQ64">
        <v>60.583125711016635</v>
      </c>
      <c r="AR64">
        <v>10</v>
      </c>
      <c r="AT64">
        <v>16.5550620488755</v>
      </c>
      <c r="AU64">
        <v>18</v>
      </c>
      <c r="AV64">
        <v>8.39861924357018</v>
      </c>
      <c r="AW64">
        <v>6</v>
      </c>
      <c r="AX64" t="s">
        <v>64</v>
      </c>
    </row>
    <row r="65" spans="43:52" ht="12.75">
      <c r="AQ65" t="s">
        <v>38</v>
      </c>
      <c r="AU65">
        <v>0.12611524356936424</v>
      </c>
      <c r="AV65" s="41">
        <v>8.524734487139543</v>
      </c>
      <c r="AZ65">
        <f>AV65-AV34</f>
        <v>8.391846707088506</v>
      </c>
    </row>
    <row r="66" spans="5:47" ht="12.75">
      <c r="E66" t="s">
        <v>106</v>
      </c>
      <c r="F66">
        <v>0</v>
      </c>
      <c r="AP66" t="s">
        <v>106</v>
      </c>
      <c r="AU66" t="s">
        <v>61</v>
      </c>
    </row>
    <row r="67" ht="12.75">
      <c r="AP67" t="s">
        <v>0</v>
      </c>
    </row>
    <row r="69" ht="12.75">
      <c r="A69" t="s">
        <v>78</v>
      </c>
    </row>
    <row r="70" ht="12.75">
      <c r="D70" t="s">
        <v>50</v>
      </c>
    </row>
    <row r="71" ht="12.75">
      <c r="D71" t="s">
        <v>36</v>
      </c>
    </row>
    <row r="72" ht="12.75">
      <c r="A72" t="s">
        <v>35</v>
      </c>
    </row>
    <row r="74" ht="12.75">
      <c r="E74" t="s">
        <v>49</v>
      </c>
    </row>
    <row r="75" spans="2:3" ht="12.75">
      <c r="B75" t="s">
        <v>98</v>
      </c>
      <c r="C75" s="48">
        <v>0.042736154960512404</v>
      </c>
    </row>
    <row r="76" spans="2:26" ht="12.75">
      <c r="B76" t="s">
        <v>99</v>
      </c>
      <c r="C76" s="48">
        <v>0.1277719860776055</v>
      </c>
      <c r="Z76" t="s">
        <v>34</v>
      </c>
    </row>
    <row r="77" spans="2:3" ht="12.75">
      <c r="B77" t="s">
        <v>100</v>
      </c>
      <c r="C77" s="48">
        <v>0.10451805188397993</v>
      </c>
    </row>
    <row r="78" spans="2:42" ht="12.75">
      <c r="B78" t="s">
        <v>5</v>
      </c>
      <c r="C78" s="48">
        <v>0.12821593464673417</v>
      </c>
      <c r="G78" t="s">
        <v>107</v>
      </c>
      <c r="Z78" t="s">
        <v>101</v>
      </c>
      <c r="AP78" t="s">
        <v>108</v>
      </c>
    </row>
    <row r="79" spans="23:43" ht="12.75">
      <c r="W79" t="s">
        <v>22</v>
      </c>
      <c r="X79" t="s">
        <v>2</v>
      </c>
      <c r="AP79" t="s">
        <v>22</v>
      </c>
      <c r="AQ79" t="s">
        <v>37</v>
      </c>
    </row>
    <row r="80" spans="7:60" ht="12.75">
      <c r="G80">
        <v>0</v>
      </c>
      <c r="H80">
        <v>0</v>
      </c>
      <c r="I80">
        <v>0</v>
      </c>
      <c r="J80">
        <v>0</v>
      </c>
      <c r="K80">
        <v>0</v>
      </c>
      <c r="L80" s="48">
        <v>0.41861834156490935</v>
      </c>
      <c r="M80">
        <v>0</v>
      </c>
      <c r="N80" s="48">
        <v>0.49380305084112447</v>
      </c>
      <c r="O80">
        <v>0</v>
      </c>
      <c r="P80">
        <v>0</v>
      </c>
      <c r="Q80">
        <v>0</v>
      </c>
      <c r="R80">
        <v>0</v>
      </c>
      <c r="S80">
        <v>0</v>
      </c>
      <c r="T80">
        <v>0</v>
      </c>
      <c r="U80">
        <v>0</v>
      </c>
      <c r="V80" s="48">
        <v>0.08757860759396632</v>
      </c>
      <c r="W80">
        <v>1</v>
      </c>
      <c r="X80" t="s">
        <v>97</v>
      </c>
      <c r="Z80">
        <v>0</v>
      </c>
      <c r="AA80">
        <v>0</v>
      </c>
      <c r="AB80">
        <v>0</v>
      </c>
      <c r="AC80">
        <v>0</v>
      </c>
      <c r="AD80">
        <v>0</v>
      </c>
      <c r="AE80">
        <v>0.41861834156490935</v>
      </c>
      <c r="AF80">
        <v>0</v>
      </c>
      <c r="AG80">
        <v>0.49380305084112447</v>
      </c>
      <c r="AH80">
        <v>0</v>
      </c>
      <c r="AI80">
        <v>0</v>
      </c>
      <c r="AJ80">
        <v>0</v>
      </c>
      <c r="AK80">
        <v>0</v>
      </c>
      <c r="AL80">
        <v>0</v>
      </c>
      <c r="AM80">
        <v>0</v>
      </c>
      <c r="AN80">
        <v>0</v>
      </c>
      <c r="AO80">
        <v>0.08757860759396632</v>
      </c>
      <c r="AP80">
        <v>1</v>
      </c>
      <c r="AX80" s="53" t="s">
        <v>90</v>
      </c>
      <c r="AY80" s="53" t="s">
        <v>91</v>
      </c>
      <c r="AZ80" s="53"/>
      <c r="BB80" t="s">
        <v>40</v>
      </c>
      <c r="BC80" t="s">
        <v>47</v>
      </c>
      <c r="BD80" t="s">
        <v>48</v>
      </c>
      <c r="BE80" t="s">
        <v>42</v>
      </c>
      <c r="BF80" t="s">
        <v>43</v>
      </c>
      <c r="BG80" t="s">
        <v>44</v>
      </c>
      <c r="BH80" t="s">
        <v>45</v>
      </c>
    </row>
    <row r="81" spans="2:60" ht="12.75">
      <c r="B81" t="s">
        <v>1</v>
      </c>
      <c r="C81" t="s">
        <v>102</v>
      </c>
      <c r="D81" t="s">
        <v>103</v>
      </c>
      <c r="E81" t="s">
        <v>104</v>
      </c>
      <c r="F81" t="s">
        <v>105</v>
      </c>
      <c r="G81" t="s">
        <v>6</v>
      </c>
      <c r="H81" t="s">
        <v>8</v>
      </c>
      <c r="I81" t="s">
        <v>9</v>
      </c>
      <c r="J81" t="s">
        <v>10</v>
      </c>
      <c r="K81" t="s">
        <v>11</v>
      </c>
      <c r="L81" t="s">
        <v>12</v>
      </c>
      <c r="M81" t="s">
        <v>13</v>
      </c>
      <c r="N81" t="s">
        <v>14</v>
      </c>
      <c r="O81" t="s">
        <v>7</v>
      </c>
      <c r="P81" t="s">
        <v>15</v>
      </c>
      <c r="Q81" t="s">
        <v>16</v>
      </c>
      <c r="R81" t="s">
        <v>17</v>
      </c>
      <c r="S81" t="s">
        <v>18</v>
      </c>
      <c r="T81" t="s">
        <v>19</v>
      </c>
      <c r="U81" t="s">
        <v>20</v>
      </c>
      <c r="V81" t="s">
        <v>21</v>
      </c>
      <c r="Z81" t="s">
        <v>6</v>
      </c>
      <c r="AA81" t="s">
        <v>8</v>
      </c>
      <c r="AB81" t="s">
        <v>9</v>
      </c>
      <c r="AC81" t="s">
        <v>10</v>
      </c>
      <c r="AD81" t="s">
        <v>11</v>
      </c>
      <c r="AE81" t="s">
        <v>12</v>
      </c>
      <c r="AF81" t="s">
        <v>13</v>
      </c>
      <c r="AG81" t="s">
        <v>14</v>
      </c>
      <c r="AH81" t="s">
        <v>7</v>
      </c>
      <c r="AI81" t="s">
        <v>15</v>
      </c>
      <c r="AJ81" t="s">
        <v>16</v>
      </c>
      <c r="AK81" t="s">
        <v>17</v>
      </c>
      <c r="AL81" t="s">
        <v>18</v>
      </c>
      <c r="AM81" t="s">
        <v>19</v>
      </c>
      <c r="AN81" t="s">
        <v>20</v>
      </c>
      <c r="AO81" t="s">
        <v>21</v>
      </c>
      <c r="AR81" t="s">
        <v>65</v>
      </c>
      <c r="AS81" t="s">
        <v>59</v>
      </c>
      <c r="AT81" t="s">
        <v>60</v>
      </c>
      <c r="AU81" t="s">
        <v>62</v>
      </c>
      <c r="AW81" t="s">
        <v>63</v>
      </c>
      <c r="AX81" s="53"/>
      <c r="AY81" s="53"/>
      <c r="AZ81" s="53"/>
      <c r="BB81" s="16" t="s">
        <v>6</v>
      </c>
      <c r="BC81">
        <v>2</v>
      </c>
      <c r="BD81" s="53">
        <v>0.40508745145138175</v>
      </c>
      <c r="BE81" t="s">
        <v>39</v>
      </c>
      <c r="BF81" t="s">
        <v>39</v>
      </c>
      <c r="BG81" t="s">
        <v>39</v>
      </c>
      <c r="BH81" t="s">
        <v>39</v>
      </c>
    </row>
    <row r="82" spans="2:60" ht="12.75">
      <c r="B82" t="s">
        <v>6</v>
      </c>
      <c r="C82">
        <v>2</v>
      </c>
      <c r="G82">
        <v>0</v>
      </c>
      <c r="H82">
        <v>0</v>
      </c>
      <c r="I82">
        <v>0</v>
      </c>
      <c r="J82">
        <v>0</v>
      </c>
      <c r="K82">
        <v>0</v>
      </c>
      <c r="L82">
        <v>0.0014218178501747064</v>
      </c>
      <c r="M82">
        <v>0</v>
      </c>
      <c r="N82">
        <v>0.00024568864923348754</v>
      </c>
      <c r="O82">
        <v>0</v>
      </c>
      <c r="P82">
        <v>0</v>
      </c>
      <c r="Q82">
        <v>0</v>
      </c>
      <c r="R82">
        <v>0</v>
      </c>
      <c r="S82">
        <v>0</v>
      </c>
      <c r="T82">
        <v>0</v>
      </c>
      <c r="U82">
        <v>0</v>
      </c>
      <c r="V82">
        <v>6.408589233879488E-06</v>
      </c>
      <c r="W82">
        <v>0.0016739150886420733</v>
      </c>
      <c r="X82" s="53">
        <v>0.40508745145138175</v>
      </c>
      <c r="Z82">
        <v>0</v>
      </c>
      <c r="AA82">
        <v>0</v>
      </c>
      <c r="AB82">
        <v>0</v>
      </c>
      <c r="AC82">
        <v>0</v>
      </c>
      <c r="AD82">
        <v>0</v>
      </c>
      <c r="AE82">
        <v>4.829138617095133E-06</v>
      </c>
      <c r="AF82">
        <v>0</v>
      </c>
      <c r="AG82">
        <v>1.2224086558265666E-07</v>
      </c>
      <c r="AH82">
        <v>0</v>
      </c>
      <c r="AI82">
        <v>0</v>
      </c>
      <c r="AJ82">
        <v>0</v>
      </c>
      <c r="AK82">
        <v>0</v>
      </c>
      <c r="AL82">
        <v>0</v>
      </c>
      <c r="AM82">
        <v>0</v>
      </c>
      <c r="AN82">
        <v>0</v>
      </c>
      <c r="AO82">
        <v>4.689503189980561E-10</v>
      </c>
      <c r="AP82">
        <v>4.951848432996788E-06</v>
      </c>
      <c r="AQ82">
        <v>6.279498484596101</v>
      </c>
      <c r="AR82">
        <v>1</v>
      </c>
      <c r="AS82">
        <v>2.5437460375178484</v>
      </c>
      <c r="AT82">
        <v>0.40508745145138175</v>
      </c>
      <c r="AU82">
        <v>2</v>
      </c>
      <c r="AV82">
        <v>0</v>
      </c>
      <c r="AW82">
        <v>0</v>
      </c>
      <c r="AX82" s="54">
        <f>100*(C86+C87+C88+C89+C94+C95+C96+C97)/C98</f>
        <v>93.80165289256199</v>
      </c>
      <c r="AY82" s="54">
        <f>100*(X86+X87+X88+X89+X94+X95+X96+X97)/X98</f>
        <v>95.72638450394876</v>
      </c>
      <c r="AZ82" s="53" t="s">
        <v>93</v>
      </c>
      <c r="BB82" s="3" t="s">
        <v>7</v>
      </c>
      <c r="BC82">
        <v>1</v>
      </c>
      <c r="BD82" s="53">
        <v>0.06989430629788226</v>
      </c>
      <c r="BE82" t="s">
        <v>39</v>
      </c>
      <c r="BF82" t="s">
        <v>39</v>
      </c>
      <c r="BG82" t="s">
        <v>39</v>
      </c>
      <c r="BH82" t="s">
        <v>46</v>
      </c>
    </row>
    <row r="83" spans="2:60" ht="12.75">
      <c r="B83" t="s">
        <v>8</v>
      </c>
      <c r="C83">
        <v>4</v>
      </c>
      <c r="G83">
        <v>0</v>
      </c>
      <c r="H83">
        <v>0</v>
      </c>
      <c r="I83">
        <v>0</v>
      </c>
      <c r="J83">
        <v>0</v>
      </c>
      <c r="K83">
        <v>0</v>
      </c>
      <c r="L83">
        <v>0.012181744640188131</v>
      </c>
      <c r="M83">
        <v>0</v>
      </c>
      <c r="N83">
        <v>0.0021049928340591186</v>
      </c>
      <c r="O83">
        <v>0</v>
      </c>
      <c r="P83">
        <v>0</v>
      </c>
      <c r="Q83">
        <v>0</v>
      </c>
      <c r="R83">
        <v>0</v>
      </c>
      <c r="S83">
        <v>0</v>
      </c>
      <c r="T83">
        <v>0</v>
      </c>
      <c r="U83">
        <v>0</v>
      </c>
      <c r="V83">
        <v>5.490703154513513E-05</v>
      </c>
      <c r="W83">
        <v>0.014341644505792384</v>
      </c>
      <c r="X83" s="53">
        <v>3.470677970401757</v>
      </c>
      <c r="Z83">
        <v>0</v>
      </c>
      <c r="AA83">
        <v>0</v>
      </c>
      <c r="AB83">
        <v>0</v>
      </c>
      <c r="AC83">
        <v>0</v>
      </c>
      <c r="AD83">
        <v>0</v>
      </c>
      <c r="AE83">
        <v>0.0003544873402441272</v>
      </c>
      <c r="AF83">
        <v>0</v>
      </c>
      <c r="AG83">
        <v>8.973202623784239E-06</v>
      </c>
      <c r="AH83">
        <v>0</v>
      </c>
      <c r="AI83">
        <v>0</v>
      </c>
      <c r="AJ83">
        <v>0</v>
      </c>
      <c r="AK83">
        <v>0</v>
      </c>
      <c r="AL83">
        <v>0</v>
      </c>
      <c r="AM83">
        <v>0</v>
      </c>
      <c r="AN83">
        <v>0</v>
      </c>
      <c r="AO83">
        <v>3.442372739100463E-08</v>
      </c>
      <c r="AP83">
        <v>0.00036349496659530246</v>
      </c>
      <c r="AQ83">
        <v>0.08072826502701146</v>
      </c>
      <c r="AR83">
        <v>1</v>
      </c>
      <c r="AS83">
        <v>0.28018181101800327</v>
      </c>
      <c r="AT83">
        <v>3.470677970401757</v>
      </c>
      <c r="AU83">
        <v>4</v>
      </c>
      <c r="AV83">
        <v>0</v>
      </c>
      <c r="AW83">
        <v>0</v>
      </c>
      <c r="AX83" s="54">
        <f>100*(C84+C85+C88+C89+C92+C93+C96+C97)/C98</f>
        <v>55.78512396694215</v>
      </c>
      <c r="AY83" s="54">
        <f>100*(X84+X85+X88+X89+X92+X93+X96+X97)/X98</f>
        <v>56.05850661780091</v>
      </c>
      <c r="AZ83" s="53" t="s">
        <v>94</v>
      </c>
      <c r="BB83" s="16" t="s">
        <v>8</v>
      </c>
      <c r="BC83">
        <v>4</v>
      </c>
      <c r="BD83" s="53">
        <v>3.470677970401757</v>
      </c>
      <c r="BE83" t="s">
        <v>39</v>
      </c>
      <c r="BF83" t="s">
        <v>39</v>
      </c>
      <c r="BG83" t="s">
        <v>46</v>
      </c>
      <c r="BH83" t="s">
        <v>39</v>
      </c>
    </row>
    <row r="84" spans="2:60" ht="12.75">
      <c r="B84" t="s">
        <v>9</v>
      </c>
      <c r="C84">
        <v>1</v>
      </c>
      <c r="G84">
        <v>0</v>
      </c>
      <c r="H84">
        <v>0</v>
      </c>
      <c r="I84">
        <v>0</v>
      </c>
      <c r="J84">
        <v>0</v>
      </c>
      <c r="K84">
        <v>0</v>
      </c>
      <c r="L84">
        <v>0.00020828096284187608</v>
      </c>
      <c r="M84">
        <v>0</v>
      </c>
      <c r="N84">
        <v>0.0016771792404795388</v>
      </c>
      <c r="O84">
        <v>0</v>
      </c>
      <c r="P84">
        <v>0</v>
      </c>
      <c r="Q84">
        <v>0</v>
      </c>
      <c r="R84">
        <v>0</v>
      </c>
      <c r="S84">
        <v>0</v>
      </c>
      <c r="T84">
        <v>0</v>
      </c>
      <c r="U84">
        <v>0</v>
      </c>
      <c r="V84">
        <v>4.3747860787857436E-05</v>
      </c>
      <c r="W84">
        <v>0.0019292080641092723</v>
      </c>
      <c r="X84" s="53">
        <v>0.4668683515144439</v>
      </c>
      <c r="Z84">
        <v>0</v>
      </c>
      <c r="AA84">
        <v>0</v>
      </c>
      <c r="AB84">
        <v>0</v>
      </c>
      <c r="AC84">
        <v>0</v>
      </c>
      <c r="AD84">
        <v>0</v>
      </c>
      <c r="AE84">
        <v>1.0362890292902389E-07</v>
      </c>
      <c r="AF84">
        <v>0</v>
      </c>
      <c r="AG84">
        <v>5.696461777431486E-06</v>
      </c>
      <c r="AH84">
        <v>0</v>
      </c>
      <c r="AI84">
        <v>0</v>
      </c>
      <c r="AJ84">
        <v>0</v>
      </c>
      <c r="AK84">
        <v>0</v>
      </c>
      <c r="AL84">
        <v>0</v>
      </c>
      <c r="AM84">
        <v>0</v>
      </c>
      <c r="AN84">
        <v>0</v>
      </c>
      <c r="AO84">
        <v>2.1853228500582026E-08</v>
      </c>
      <c r="AP84">
        <v>5.8219439088610926E-06</v>
      </c>
      <c r="AQ84">
        <v>0.6087997905510911</v>
      </c>
      <c r="AR84">
        <v>1</v>
      </c>
      <c r="AS84">
        <v>0.2842293546169266</v>
      </c>
      <c r="AT84">
        <v>0.4668683515144439</v>
      </c>
      <c r="AU84">
        <v>1</v>
      </c>
      <c r="AV84">
        <v>0</v>
      </c>
      <c r="AW84">
        <v>0</v>
      </c>
      <c r="AX84" s="54">
        <f>100*(C83+C85+C87+C89+C91+C93+C95+C97)/C98</f>
        <v>90.9090909090909</v>
      </c>
      <c r="AY84" s="54">
        <f>100*(X83+X85+X87+X89+X91+X93+X95+X97)/X98</f>
        <v>89.54819481160202</v>
      </c>
      <c r="AZ84" s="53" t="s">
        <v>95</v>
      </c>
      <c r="BB84" s="3" t="s">
        <v>15</v>
      </c>
      <c r="BC84">
        <v>4</v>
      </c>
      <c r="BD84" s="53">
        <v>0.5988352101637172</v>
      </c>
      <c r="BE84" t="s">
        <v>39</v>
      </c>
      <c r="BF84" t="s">
        <v>39</v>
      </c>
      <c r="BG84" t="s">
        <v>46</v>
      </c>
      <c r="BH84" t="s">
        <v>46</v>
      </c>
    </row>
    <row r="85" spans="2:60" ht="12.75">
      <c r="B85" t="s">
        <v>10</v>
      </c>
      <c r="C85">
        <v>2</v>
      </c>
      <c r="G85">
        <v>0</v>
      </c>
      <c r="H85">
        <v>0</v>
      </c>
      <c r="I85">
        <v>0</v>
      </c>
      <c r="J85">
        <v>0</v>
      </c>
      <c r="K85">
        <v>0</v>
      </c>
      <c r="L85">
        <v>0.0017844940562818821</v>
      </c>
      <c r="M85">
        <v>0</v>
      </c>
      <c r="N85">
        <v>0.014369610861782303</v>
      </c>
      <c r="O85">
        <v>0</v>
      </c>
      <c r="P85">
        <v>0</v>
      </c>
      <c r="Q85">
        <v>0</v>
      </c>
      <c r="R85">
        <v>0</v>
      </c>
      <c r="S85">
        <v>0</v>
      </c>
      <c r="T85">
        <v>0</v>
      </c>
      <c r="U85">
        <v>0</v>
      </c>
      <c r="V85">
        <v>0.0003748196497931824</v>
      </c>
      <c r="W85">
        <v>0.01652892456785737</v>
      </c>
      <c r="X85" s="53">
        <v>3.9999997454214835</v>
      </c>
      <c r="Z85">
        <v>0</v>
      </c>
      <c r="AA85">
        <v>0</v>
      </c>
      <c r="AB85">
        <v>0</v>
      </c>
      <c r="AC85">
        <v>0</v>
      </c>
      <c r="AD85">
        <v>0</v>
      </c>
      <c r="AE85">
        <v>7.606974469874253E-06</v>
      </c>
      <c r="AF85">
        <v>0</v>
      </c>
      <c r="AG85">
        <v>0.0004181539906797506</v>
      </c>
      <c r="AH85">
        <v>0</v>
      </c>
      <c r="AI85">
        <v>0</v>
      </c>
      <c r="AJ85">
        <v>0</v>
      </c>
      <c r="AK85">
        <v>0</v>
      </c>
      <c r="AL85">
        <v>0</v>
      </c>
      <c r="AM85">
        <v>0</v>
      </c>
      <c r="AN85">
        <v>0</v>
      </c>
      <c r="AO85">
        <v>1.60415624009947E-06</v>
      </c>
      <c r="AP85">
        <v>0.0004273651213897243</v>
      </c>
      <c r="AQ85">
        <v>0.9999998090661167</v>
      </c>
      <c r="AR85">
        <v>1</v>
      </c>
      <c r="AS85">
        <v>3.999998981685999</v>
      </c>
      <c r="AT85">
        <v>3.9999997454214835</v>
      </c>
      <c r="AU85">
        <v>2</v>
      </c>
      <c r="AV85">
        <v>0</v>
      </c>
      <c r="AW85">
        <v>0</v>
      </c>
      <c r="AX85" s="54">
        <f>100*(C90+C91+C92+C93+C94+C95+C96+C97)/C98</f>
        <v>19.00826446280992</v>
      </c>
      <c r="AY85" s="54">
        <f>100*(X90+X91+X92+X93+X94+X95+X96+X97)/X98</f>
        <v>19.33365961852606</v>
      </c>
      <c r="AZ85" s="53" t="s">
        <v>96</v>
      </c>
      <c r="BB85" s="16" t="s">
        <v>9</v>
      </c>
      <c r="BC85">
        <v>1</v>
      </c>
      <c r="BD85" s="53">
        <v>0.4668683515144439</v>
      </c>
      <c r="BE85" t="s">
        <v>39</v>
      </c>
      <c r="BF85" t="s">
        <v>46</v>
      </c>
      <c r="BG85" t="s">
        <v>39</v>
      </c>
      <c r="BH85" t="s">
        <v>39</v>
      </c>
    </row>
    <row r="86" spans="2:60" ht="12.75">
      <c r="B86" t="s">
        <v>11</v>
      </c>
      <c r="C86">
        <v>4</v>
      </c>
      <c r="G86">
        <v>0</v>
      </c>
      <c r="H86">
        <v>0</v>
      </c>
      <c r="I86">
        <v>0</v>
      </c>
      <c r="J86">
        <v>0</v>
      </c>
      <c r="K86">
        <v>0</v>
      </c>
      <c r="L86">
        <v>0.03184785396490659</v>
      </c>
      <c r="M86">
        <v>0</v>
      </c>
      <c r="N86">
        <v>0.0055032761198361745</v>
      </c>
      <c r="O86">
        <v>0</v>
      </c>
      <c r="P86">
        <v>0</v>
      </c>
      <c r="Q86">
        <v>0</v>
      </c>
      <c r="R86">
        <v>0</v>
      </c>
      <c r="S86">
        <v>0</v>
      </c>
      <c r="T86">
        <v>0</v>
      </c>
      <c r="U86">
        <v>0</v>
      </c>
      <c r="V86">
        <v>0.00014354849604440378</v>
      </c>
      <c r="W86">
        <v>0.03749467858078717</v>
      </c>
      <c r="X86" s="53">
        <v>9.073712216550495</v>
      </c>
      <c r="Z86">
        <v>0</v>
      </c>
      <c r="AA86">
        <v>0</v>
      </c>
      <c r="AB86">
        <v>0</v>
      </c>
      <c r="AC86">
        <v>0</v>
      </c>
      <c r="AD86">
        <v>0</v>
      </c>
      <c r="AE86">
        <v>0.0024229368411769533</v>
      </c>
      <c r="AF86">
        <v>0</v>
      </c>
      <c r="AG86">
        <v>6.133224166916558E-05</v>
      </c>
      <c r="AH86">
        <v>0</v>
      </c>
      <c r="AI86">
        <v>0</v>
      </c>
      <c r="AJ86">
        <v>0</v>
      </c>
      <c r="AK86">
        <v>0</v>
      </c>
      <c r="AL86">
        <v>0</v>
      </c>
      <c r="AM86">
        <v>0</v>
      </c>
      <c r="AN86">
        <v>0</v>
      </c>
      <c r="AO86">
        <v>2.3528771788819646E-07</v>
      </c>
      <c r="AP86">
        <v>0.002484504370564007</v>
      </c>
      <c r="AQ86">
        <v>2.837047841281454</v>
      </c>
      <c r="AR86">
        <v>0</v>
      </c>
      <c r="AS86">
        <v>25.74255565637374</v>
      </c>
      <c r="AT86">
        <v>0</v>
      </c>
      <c r="AU86">
        <v>0</v>
      </c>
      <c r="AV86">
        <v>2.837047841281454</v>
      </c>
      <c r="AW86">
        <v>1</v>
      </c>
      <c r="BB86" s="3" t="s">
        <v>16</v>
      </c>
      <c r="BC86">
        <v>0</v>
      </c>
      <c r="BD86" s="53">
        <v>0.1390912088155754</v>
      </c>
      <c r="BE86" t="s">
        <v>39</v>
      </c>
      <c r="BF86" t="s">
        <v>46</v>
      </c>
      <c r="BG86" t="s">
        <v>39</v>
      </c>
      <c r="BH86" t="s">
        <v>46</v>
      </c>
    </row>
    <row r="87" spans="2:60" ht="12.75">
      <c r="B87" t="s">
        <v>12</v>
      </c>
      <c r="C87" s="49">
        <v>80</v>
      </c>
      <c r="G87">
        <v>0</v>
      </c>
      <c r="H87">
        <v>0</v>
      </c>
      <c r="I87">
        <v>0</v>
      </c>
      <c r="J87">
        <v>0</v>
      </c>
      <c r="K87">
        <v>0</v>
      </c>
      <c r="L87">
        <v>0.27286366132681783</v>
      </c>
      <c r="M87">
        <v>0</v>
      </c>
      <c r="N87">
        <v>0.04715055755422691</v>
      </c>
      <c r="O87">
        <v>0</v>
      </c>
      <c r="P87">
        <v>0</v>
      </c>
      <c r="Q87">
        <v>0</v>
      </c>
      <c r="R87">
        <v>0</v>
      </c>
      <c r="S87">
        <v>0</v>
      </c>
      <c r="T87">
        <v>0</v>
      </c>
      <c r="U87">
        <v>0</v>
      </c>
      <c r="V87">
        <v>0.0012298840685402246</v>
      </c>
      <c r="W87">
        <v>0.321244102949585</v>
      </c>
      <c r="X87" s="53">
        <v>77.74107291379957</v>
      </c>
      <c r="Z87">
        <v>0</v>
      </c>
      <c r="AA87">
        <v>0</v>
      </c>
      <c r="AB87">
        <v>0</v>
      </c>
      <c r="AC87">
        <v>0</v>
      </c>
      <c r="AD87">
        <v>0</v>
      </c>
      <c r="AE87">
        <v>0.1778578965134324</v>
      </c>
      <c r="AF87">
        <v>0</v>
      </c>
      <c r="AG87">
        <v>0.004502149336436047</v>
      </c>
      <c r="AH87">
        <v>0</v>
      </c>
      <c r="AI87">
        <v>0</v>
      </c>
      <c r="AJ87">
        <v>0</v>
      </c>
      <c r="AK87">
        <v>0</v>
      </c>
      <c r="AL87">
        <v>0</v>
      </c>
      <c r="AM87">
        <v>0</v>
      </c>
      <c r="AN87">
        <v>0</v>
      </c>
      <c r="AO87">
        <v>1.7271510287784783E-05</v>
      </c>
      <c r="AP87">
        <v>0.18237731736015625</v>
      </c>
      <c r="AQ87">
        <v>0.06563778179943527</v>
      </c>
      <c r="AR87">
        <v>0</v>
      </c>
      <c r="AS87">
        <v>5.102751580769964</v>
      </c>
      <c r="AT87">
        <v>0</v>
      </c>
      <c r="AU87">
        <v>0</v>
      </c>
      <c r="AV87">
        <v>0.06563778179943527</v>
      </c>
      <c r="AW87">
        <v>1</v>
      </c>
      <c r="BB87" s="16" t="s">
        <v>10</v>
      </c>
      <c r="BC87">
        <v>2</v>
      </c>
      <c r="BD87" s="53">
        <v>3.9999997454214835</v>
      </c>
      <c r="BE87" t="s">
        <v>39</v>
      </c>
      <c r="BF87" t="s">
        <v>46</v>
      </c>
      <c r="BG87" t="s">
        <v>46</v>
      </c>
      <c r="BH87" t="s">
        <v>39</v>
      </c>
    </row>
    <row r="88" spans="2:60" ht="13.5" thickBot="1">
      <c r="B88" t="s">
        <v>13</v>
      </c>
      <c r="C88">
        <v>11</v>
      </c>
      <c r="G88">
        <v>0</v>
      </c>
      <c r="H88">
        <v>0</v>
      </c>
      <c r="I88">
        <v>0</v>
      </c>
      <c r="J88">
        <v>0</v>
      </c>
      <c r="K88">
        <v>0</v>
      </c>
      <c r="L88">
        <v>0.004665366725732931</v>
      </c>
      <c r="M88">
        <v>0</v>
      </c>
      <c r="N88">
        <v>0.03756779359409644</v>
      </c>
      <c r="O88">
        <v>0</v>
      </c>
      <c r="P88">
        <v>0</v>
      </c>
      <c r="Q88">
        <v>0</v>
      </c>
      <c r="R88">
        <v>0</v>
      </c>
      <c r="S88">
        <v>0</v>
      </c>
      <c r="T88">
        <v>0</v>
      </c>
      <c r="U88">
        <v>0</v>
      </c>
      <c r="V88">
        <v>0.0009799254394489054</v>
      </c>
      <c r="W88">
        <v>0.04321308575927828</v>
      </c>
      <c r="X88" s="53">
        <v>10.457566753745343</v>
      </c>
      <c r="Z88">
        <v>0</v>
      </c>
      <c r="AA88">
        <v>0</v>
      </c>
      <c r="AB88">
        <v>0</v>
      </c>
      <c r="AC88">
        <v>0</v>
      </c>
      <c r="AD88">
        <v>0</v>
      </c>
      <c r="AE88">
        <v>5.199401107034655E-05</v>
      </c>
      <c r="AF88">
        <v>0</v>
      </c>
      <c r="AG88">
        <v>0.002858101247298118</v>
      </c>
      <c r="AH88">
        <v>0</v>
      </c>
      <c r="AI88">
        <v>0</v>
      </c>
      <c r="AJ88">
        <v>0</v>
      </c>
      <c r="AK88">
        <v>0</v>
      </c>
      <c r="AL88">
        <v>0</v>
      </c>
      <c r="AM88">
        <v>0</v>
      </c>
      <c r="AN88">
        <v>0</v>
      </c>
      <c r="AO88">
        <v>1.0964479720105606E-05</v>
      </c>
      <c r="AP88">
        <v>0.00292105973808857</v>
      </c>
      <c r="AQ88">
        <v>0.028135974034015708</v>
      </c>
      <c r="AR88">
        <v>0</v>
      </c>
      <c r="AS88">
        <v>0.2942338266423649</v>
      </c>
      <c r="AT88">
        <v>0</v>
      </c>
      <c r="AU88">
        <v>0</v>
      </c>
      <c r="AV88">
        <v>0.028135974034015708</v>
      </c>
      <c r="AW88">
        <v>1</v>
      </c>
      <c r="BB88" s="12" t="s">
        <v>17</v>
      </c>
      <c r="BC88">
        <v>1</v>
      </c>
      <c r="BD88" s="53">
        <v>1.1916952563777614</v>
      </c>
      <c r="BE88" t="s">
        <v>39</v>
      </c>
      <c r="BF88" t="s">
        <v>46</v>
      </c>
      <c r="BG88" t="s">
        <v>46</v>
      </c>
      <c r="BH88" t="s">
        <v>46</v>
      </c>
    </row>
    <row r="89" spans="1:60" ht="12.75">
      <c r="A89" t="s">
        <v>4</v>
      </c>
      <c r="B89" t="s">
        <v>14</v>
      </c>
      <c r="C89" s="49">
        <v>92</v>
      </c>
      <c r="G89">
        <v>0</v>
      </c>
      <c r="H89">
        <v>0</v>
      </c>
      <c r="I89">
        <v>0</v>
      </c>
      <c r="J89">
        <v>0</v>
      </c>
      <c r="K89">
        <v>0</v>
      </c>
      <c r="L89">
        <v>0.03997158011395475</v>
      </c>
      <c r="M89">
        <v>0</v>
      </c>
      <c r="N89">
        <v>0.3218705322924069</v>
      </c>
      <c r="O89">
        <v>0</v>
      </c>
      <c r="P89">
        <v>0</v>
      </c>
      <c r="Q89">
        <v>0</v>
      </c>
      <c r="R89">
        <v>0</v>
      </c>
      <c r="S89">
        <v>0</v>
      </c>
      <c r="T89">
        <v>0</v>
      </c>
      <c r="U89">
        <v>0</v>
      </c>
      <c r="V89">
        <v>0.008395731892326374</v>
      </c>
      <c r="W89">
        <v>0.37023784429868806</v>
      </c>
      <c r="X89" s="53">
        <v>89.59755832028252</v>
      </c>
      <c r="Z89">
        <v>0</v>
      </c>
      <c r="AA89">
        <v>0</v>
      </c>
      <c r="AB89">
        <v>0</v>
      </c>
      <c r="AC89">
        <v>0</v>
      </c>
      <c r="AD89">
        <v>0</v>
      </c>
      <c r="AE89">
        <v>0.003816667972152303</v>
      </c>
      <c r="AF89">
        <v>0</v>
      </c>
      <c r="AG89">
        <v>0.20980153804584267</v>
      </c>
      <c r="AH89">
        <v>0</v>
      </c>
      <c r="AI89">
        <v>0</v>
      </c>
      <c r="AJ89">
        <v>0</v>
      </c>
      <c r="AK89">
        <v>0</v>
      </c>
      <c r="AL89">
        <v>0</v>
      </c>
      <c r="AM89">
        <v>0</v>
      </c>
      <c r="AN89">
        <v>0</v>
      </c>
      <c r="AO89">
        <v>0.0008048576695193137</v>
      </c>
      <c r="AP89">
        <v>0.2144230636875143</v>
      </c>
      <c r="AQ89">
        <v>0.06441834055133172</v>
      </c>
      <c r="AR89">
        <v>0</v>
      </c>
      <c r="AS89">
        <v>5.7717260244437645</v>
      </c>
      <c r="AT89">
        <v>0</v>
      </c>
      <c r="AU89">
        <v>0</v>
      </c>
      <c r="AV89">
        <v>0.06441834055133172</v>
      </c>
      <c r="AW89">
        <v>1</v>
      </c>
      <c r="BB89" s="3" t="s">
        <v>11</v>
      </c>
      <c r="BC89">
        <v>4</v>
      </c>
      <c r="BD89" s="53">
        <v>9.073712216550495</v>
      </c>
      <c r="BE89" t="s">
        <v>46</v>
      </c>
      <c r="BF89" t="s">
        <v>39</v>
      </c>
      <c r="BG89" t="s">
        <v>39</v>
      </c>
      <c r="BH89" t="s">
        <v>39</v>
      </c>
    </row>
    <row r="90" spans="2:60" ht="12.75">
      <c r="B90" t="s">
        <v>7</v>
      </c>
      <c r="C90">
        <v>1</v>
      </c>
      <c r="G90">
        <v>0</v>
      </c>
      <c r="H90">
        <v>0</v>
      </c>
      <c r="I90">
        <v>0</v>
      </c>
      <c r="J90">
        <v>0</v>
      </c>
      <c r="K90">
        <v>0</v>
      </c>
      <c r="L90">
        <v>0.0002091110767018762</v>
      </c>
      <c r="M90">
        <v>0</v>
      </c>
      <c r="N90">
        <v>3.613417708065157E-05</v>
      </c>
      <c r="O90">
        <v>0</v>
      </c>
      <c r="P90">
        <v>0</v>
      </c>
      <c r="Q90">
        <v>0</v>
      </c>
      <c r="R90">
        <v>0</v>
      </c>
      <c r="S90">
        <v>0</v>
      </c>
      <c r="T90">
        <v>0</v>
      </c>
      <c r="U90">
        <v>0</v>
      </c>
      <c r="V90">
        <v>4.357419372938243E-05</v>
      </c>
      <c r="W90">
        <v>0.0002888194475119102</v>
      </c>
      <c r="X90" s="53">
        <v>0.06989430629788226</v>
      </c>
      <c r="Z90">
        <v>0</v>
      </c>
      <c r="AA90">
        <v>0</v>
      </c>
      <c r="AB90">
        <v>0</v>
      </c>
      <c r="AC90">
        <v>0</v>
      </c>
      <c r="AD90">
        <v>0</v>
      </c>
      <c r="AE90">
        <v>1.044565850506045E-07</v>
      </c>
      <c r="AF90">
        <v>0</v>
      </c>
      <c r="AG90">
        <v>2.6441285671926165E-09</v>
      </c>
      <c r="AH90">
        <v>0</v>
      </c>
      <c r="AI90">
        <v>0</v>
      </c>
      <c r="AJ90">
        <v>0</v>
      </c>
      <c r="AK90">
        <v>0</v>
      </c>
      <c r="AL90">
        <v>0</v>
      </c>
      <c r="AM90">
        <v>0</v>
      </c>
      <c r="AN90">
        <v>0</v>
      </c>
      <c r="AO90">
        <v>2.1680070182990227E-08</v>
      </c>
      <c r="AP90">
        <v>1.2878078380078733E-07</v>
      </c>
      <c r="AQ90">
        <v>12.377211353527796</v>
      </c>
      <c r="AR90">
        <v>1</v>
      </c>
      <c r="AS90">
        <v>0.8650966014570977</v>
      </c>
      <c r="AT90">
        <v>0.06989430629788226</v>
      </c>
      <c r="AU90">
        <v>1</v>
      </c>
      <c r="AV90">
        <v>0</v>
      </c>
      <c r="AW90">
        <v>0</v>
      </c>
      <c r="BB90" s="3" t="s">
        <v>18</v>
      </c>
      <c r="BC90">
        <v>0</v>
      </c>
      <c r="BD90" s="53">
        <v>1.5655898958364372</v>
      </c>
      <c r="BE90" t="s">
        <v>46</v>
      </c>
      <c r="BF90" t="s">
        <v>39</v>
      </c>
      <c r="BG90" t="s">
        <v>39</v>
      </c>
      <c r="BH90" t="s">
        <v>46</v>
      </c>
    </row>
    <row r="91" spans="2:60" ht="12.75">
      <c r="B91" t="s">
        <v>15</v>
      </c>
      <c r="C91">
        <v>4</v>
      </c>
      <c r="G91">
        <v>0</v>
      </c>
      <c r="H91">
        <v>0</v>
      </c>
      <c r="I91">
        <v>0</v>
      </c>
      <c r="J91">
        <v>0</v>
      </c>
      <c r="K91">
        <v>0</v>
      </c>
      <c r="L91">
        <v>0.001791606243728087</v>
      </c>
      <c r="M91">
        <v>0</v>
      </c>
      <c r="N91">
        <v>0.0003095876999474646</v>
      </c>
      <c r="O91">
        <v>0</v>
      </c>
      <c r="P91">
        <v>0</v>
      </c>
      <c r="Q91">
        <v>0</v>
      </c>
      <c r="R91">
        <v>0</v>
      </c>
      <c r="S91">
        <v>0</v>
      </c>
      <c r="T91">
        <v>0</v>
      </c>
      <c r="U91">
        <v>0</v>
      </c>
      <c r="V91">
        <v>0.00037333171815799067</v>
      </c>
      <c r="W91">
        <v>0.0024745256618335424</v>
      </c>
      <c r="X91" s="53">
        <v>0.5988352101637172</v>
      </c>
      <c r="Z91">
        <v>0</v>
      </c>
      <c r="AA91">
        <v>0</v>
      </c>
      <c r="AB91">
        <v>0</v>
      </c>
      <c r="AC91">
        <v>0</v>
      </c>
      <c r="AD91">
        <v>0</v>
      </c>
      <c r="AE91">
        <v>7.667731233577014E-06</v>
      </c>
      <c r="AF91">
        <v>0</v>
      </c>
      <c r="AG91">
        <v>1.94094677615911E-07</v>
      </c>
      <c r="AH91">
        <v>0</v>
      </c>
      <c r="AI91">
        <v>0</v>
      </c>
      <c r="AJ91">
        <v>0</v>
      </c>
      <c r="AK91">
        <v>0</v>
      </c>
      <c r="AL91">
        <v>0</v>
      </c>
      <c r="AM91">
        <v>0</v>
      </c>
      <c r="AN91">
        <v>0</v>
      </c>
      <c r="AO91">
        <v>1.5914453953067832E-06</v>
      </c>
      <c r="AP91">
        <v>9.453271306499708E-06</v>
      </c>
      <c r="AQ91">
        <v>19.31737100839394</v>
      </c>
      <c r="AR91">
        <v>1</v>
      </c>
      <c r="AS91">
        <v>11.567921927622084</v>
      </c>
      <c r="AT91">
        <v>0.5988352101637172</v>
      </c>
      <c r="AU91">
        <v>4</v>
      </c>
      <c r="AV91">
        <v>0</v>
      </c>
      <c r="AW91">
        <v>0</v>
      </c>
      <c r="BB91" s="16" t="s">
        <v>12</v>
      </c>
      <c r="BC91" s="49">
        <v>80</v>
      </c>
      <c r="BD91" s="53">
        <v>77.74107291379957</v>
      </c>
      <c r="BE91" t="s">
        <v>46</v>
      </c>
      <c r="BF91" t="s">
        <v>39</v>
      </c>
      <c r="BG91" t="s">
        <v>46</v>
      </c>
      <c r="BH91" t="s">
        <v>39</v>
      </c>
    </row>
    <row r="92" spans="2:60" ht="12.75">
      <c r="B92" t="s">
        <v>16</v>
      </c>
      <c r="C92">
        <v>0</v>
      </c>
      <c r="G92">
        <v>0</v>
      </c>
      <c r="H92">
        <v>0</v>
      </c>
      <c r="I92">
        <v>0</v>
      </c>
      <c r="J92">
        <v>0</v>
      </c>
      <c r="K92">
        <v>0</v>
      </c>
      <c r="L92">
        <v>3.063251484078391E-05</v>
      </c>
      <c r="M92">
        <v>0</v>
      </c>
      <c r="N92">
        <v>0.00024666785323845586</v>
      </c>
      <c r="O92">
        <v>0</v>
      </c>
      <c r="P92">
        <v>0</v>
      </c>
      <c r="Q92">
        <v>0</v>
      </c>
      <c r="R92">
        <v>0</v>
      </c>
      <c r="S92">
        <v>0</v>
      </c>
      <c r="T92">
        <v>0</v>
      </c>
      <c r="U92">
        <v>0</v>
      </c>
      <c r="V92">
        <v>0.00029745669314214625</v>
      </c>
      <c r="W92">
        <v>0.000574757061221386</v>
      </c>
      <c r="X92" s="53">
        <v>0.1390912088155754</v>
      </c>
      <c r="Z92">
        <v>0</v>
      </c>
      <c r="AA92">
        <v>0</v>
      </c>
      <c r="AB92">
        <v>0</v>
      </c>
      <c r="AC92">
        <v>0</v>
      </c>
      <c r="AD92">
        <v>0</v>
      </c>
      <c r="AE92">
        <v>2.2415428859687208E-09</v>
      </c>
      <c r="AF92">
        <v>0</v>
      </c>
      <c r="AG92">
        <v>1.232172011040179E-07</v>
      </c>
      <c r="AH92">
        <v>0</v>
      </c>
      <c r="AI92">
        <v>0</v>
      </c>
      <c r="AJ92">
        <v>0</v>
      </c>
      <c r="AK92">
        <v>0</v>
      </c>
      <c r="AL92">
        <v>0</v>
      </c>
      <c r="AM92">
        <v>0</v>
      </c>
      <c r="AN92">
        <v>0</v>
      </c>
      <c r="AO92">
        <v>1.0102979109382047E-06</v>
      </c>
      <c r="AP92">
        <v>1.1357566549281913E-06</v>
      </c>
      <c r="AQ92">
        <v>0.1390912088155754</v>
      </c>
      <c r="AR92">
        <v>1</v>
      </c>
      <c r="AS92">
        <v>0.019346364369778</v>
      </c>
      <c r="AT92">
        <v>0.1390912088155754</v>
      </c>
      <c r="AU92">
        <v>0</v>
      </c>
      <c r="AV92">
        <v>0</v>
      </c>
      <c r="AW92">
        <v>0</v>
      </c>
      <c r="BB92" s="3" t="s">
        <v>19</v>
      </c>
      <c r="BC92">
        <v>12</v>
      </c>
      <c r="BD92" s="53">
        <v>13.413544020420607</v>
      </c>
      <c r="BE92" t="s">
        <v>46</v>
      </c>
      <c r="BF92" t="s">
        <v>39</v>
      </c>
      <c r="BG92" t="s">
        <v>46</v>
      </c>
      <c r="BH92" t="s">
        <v>46</v>
      </c>
    </row>
    <row r="93" spans="2:60" ht="12.75">
      <c r="B93" t="s">
        <v>17</v>
      </c>
      <c r="C93">
        <v>1</v>
      </c>
      <c r="G93">
        <v>0</v>
      </c>
      <c r="H93">
        <v>0</v>
      </c>
      <c r="I93">
        <v>0</v>
      </c>
      <c r="J93">
        <v>0</v>
      </c>
      <c r="K93">
        <v>0</v>
      </c>
      <c r="L93">
        <v>0.0002624509696733312</v>
      </c>
      <c r="M93">
        <v>0</v>
      </c>
      <c r="N93">
        <v>0.0021133823848990584</v>
      </c>
      <c r="O93">
        <v>0</v>
      </c>
      <c r="P93">
        <v>0</v>
      </c>
      <c r="Q93">
        <v>0</v>
      </c>
      <c r="R93">
        <v>0</v>
      </c>
      <c r="S93">
        <v>0</v>
      </c>
      <c r="T93">
        <v>0</v>
      </c>
      <c r="U93">
        <v>0</v>
      </c>
      <c r="V93">
        <v>0.002548527208972079</v>
      </c>
      <c r="W93">
        <v>0.004924360563544469</v>
      </c>
      <c r="X93" s="53">
        <v>1.1916952563777614</v>
      </c>
      <c r="Z93">
        <v>0</v>
      </c>
      <c r="AA93">
        <v>0</v>
      </c>
      <c r="AB93">
        <v>0</v>
      </c>
      <c r="AC93">
        <v>0</v>
      </c>
      <c r="AD93">
        <v>0</v>
      </c>
      <c r="AE93">
        <v>1.6454250720352508E-07</v>
      </c>
      <c r="AF93">
        <v>0</v>
      </c>
      <c r="AG93">
        <v>9.044871426358685E-06</v>
      </c>
      <c r="AH93">
        <v>0</v>
      </c>
      <c r="AI93">
        <v>0</v>
      </c>
      <c r="AJ93">
        <v>0</v>
      </c>
      <c r="AK93">
        <v>0</v>
      </c>
      <c r="AL93">
        <v>0</v>
      </c>
      <c r="AM93">
        <v>0</v>
      </c>
      <c r="AN93">
        <v>0</v>
      </c>
      <c r="AO93">
        <v>7.416184286673318E-05</v>
      </c>
      <c r="AP93">
        <v>8.337125680029538E-05</v>
      </c>
      <c r="AQ93">
        <v>0.030835963406811648</v>
      </c>
      <c r="AR93">
        <v>1</v>
      </c>
      <c r="AS93">
        <v>0.03674707131773568</v>
      </c>
      <c r="AT93">
        <v>1.1916952563777614</v>
      </c>
      <c r="AU93">
        <v>1</v>
      </c>
      <c r="AV93">
        <v>0</v>
      </c>
      <c r="AW93">
        <v>0</v>
      </c>
      <c r="BB93" s="16" t="s">
        <v>13</v>
      </c>
      <c r="BC93">
        <v>11</v>
      </c>
      <c r="BD93" s="53">
        <v>10.457566753745343</v>
      </c>
      <c r="BE93" t="s">
        <v>46</v>
      </c>
      <c r="BF93" t="s">
        <v>46</v>
      </c>
      <c r="BG93" t="s">
        <v>39</v>
      </c>
      <c r="BH93" t="s">
        <v>39</v>
      </c>
    </row>
    <row r="94" spans="2:60" ht="12.75">
      <c r="B94" t="s">
        <v>18</v>
      </c>
      <c r="C94">
        <v>0</v>
      </c>
      <c r="G94">
        <v>0</v>
      </c>
      <c r="H94">
        <v>0</v>
      </c>
      <c r="I94">
        <v>0</v>
      </c>
      <c r="J94">
        <v>0</v>
      </c>
      <c r="K94">
        <v>0</v>
      </c>
      <c r="L94">
        <v>0.004683960770662301</v>
      </c>
      <c r="M94">
        <v>0</v>
      </c>
      <c r="N94">
        <v>0.0008093835610976902</v>
      </c>
      <c r="O94">
        <v>0</v>
      </c>
      <c r="P94">
        <v>0</v>
      </c>
      <c r="Q94">
        <v>0</v>
      </c>
      <c r="R94">
        <v>0</v>
      </c>
      <c r="S94">
        <v>0</v>
      </c>
      <c r="T94">
        <v>0</v>
      </c>
      <c r="U94">
        <v>0</v>
      </c>
      <c r="V94">
        <v>0.0009760354031013188</v>
      </c>
      <c r="W94">
        <v>0.006469379734861311</v>
      </c>
      <c r="X94" s="53">
        <v>1.5655898958364372</v>
      </c>
      <c r="Z94">
        <v>0</v>
      </c>
      <c r="AA94">
        <v>0</v>
      </c>
      <c r="AB94">
        <v>0</v>
      </c>
      <c r="AC94">
        <v>0</v>
      </c>
      <c r="AD94">
        <v>0</v>
      </c>
      <c r="AE94">
        <v>5.2409286270371245E-05</v>
      </c>
      <c r="AF94">
        <v>0</v>
      </c>
      <c r="AG94">
        <v>1.3266458112385175E-06</v>
      </c>
      <c r="AH94">
        <v>0</v>
      </c>
      <c r="AI94">
        <v>0</v>
      </c>
      <c r="AJ94">
        <v>0</v>
      </c>
      <c r="AK94">
        <v>0</v>
      </c>
      <c r="AL94">
        <v>0</v>
      </c>
      <c r="AM94">
        <v>0</v>
      </c>
      <c r="AN94">
        <v>0</v>
      </c>
      <c r="AO94">
        <v>1.0877600526875536E-05</v>
      </c>
      <c r="AP94">
        <v>6.46135326084853E-05</v>
      </c>
      <c r="AQ94">
        <v>1.5655898958364372</v>
      </c>
      <c r="AR94">
        <v>1</v>
      </c>
      <c r="AS94">
        <v>2.451071721945146</v>
      </c>
      <c r="AT94">
        <v>1.5655898958364372</v>
      </c>
      <c r="AU94">
        <v>0</v>
      </c>
      <c r="AV94">
        <v>0</v>
      </c>
      <c r="AW94">
        <v>0</v>
      </c>
      <c r="BB94" s="16" t="s">
        <v>20</v>
      </c>
      <c r="BC94">
        <v>3</v>
      </c>
      <c r="BD94" s="53">
        <v>3.1155583717115847</v>
      </c>
      <c r="BE94" t="s">
        <v>46</v>
      </c>
      <c r="BF94" t="s">
        <v>46</v>
      </c>
      <c r="BG94" t="s">
        <v>39</v>
      </c>
      <c r="BH94" t="s">
        <v>46</v>
      </c>
    </row>
    <row r="95" spans="2:60" ht="12.75">
      <c r="B95" t="s">
        <v>19</v>
      </c>
      <c r="C95">
        <v>12</v>
      </c>
      <c r="G95">
        <v>0</v>
      </c>
      <c r="H95">
        <v>0</v>
      </c>
      <c r="I95">
        <v>0</v>
      </c>
      <c r="J95">
        <v>0</v>
      </c>
      <c r="K95">
        <v>0</v>
      </c>
      <c r="L95">
        <v>0.04013088878146793</v>
      </c>
      <c r="M95">
        <v>0</v>
      </c>
      <c r="N95">
        <v>0.006934575941669784</v>
      </c>
      <c r="O95">
        <v>0</v>
      </c>
      <c r="P95">
        <v>0</v>
      </c>
      <c r="Q95">
        <v>0</v>
      </c>
      <c r="R95">
        <v>0</v>
      </c>
      <c r="S95">
        <v>0</v>
      </c>
      <c r="T95">
        <v>0</v>
      </c>
      <c r="U95">
        <v>0</v>
      </c>
      <c r="V95">
        <v>0.008362403129840006</v>
      </c>
      <c r="W95">
        <v>0.055427867852977715</v>
      </c>
      <c r="X95" s="53">
        <v>13.413544020420607</v>
      </c>
      <c r="Z95">
        <v>0</v>
      </c>
      <c r="AA95">
        <v>0</v>
      </c>
      <c r="AB95">
        <v>0</v>
      </c>
      <c r="AC95">
        <v>0</v>
      </c>
      <c r="AD95">
        <v>0</v>
      </c>
      <c r="AE95">
        <v>0.0038471516283068367</v>
      </c>
      <c r="AF95">
        <v>0</v>
      </c>
      <c r="AG95">
        <v>9.738365003795258E-05</v>
      </c>
      <c r="AH95">
        <v>0</v>
      </c>
      <c r="AI95">
        <v>0</v>
      </c>
      <c r="AJ95">
        <v>0</v>
      </c>
      <c r="AK95">
        <v>0</v>
      </c>
      <c r="AL95">
        <v>0</v>
      </c>
      <c r="AM95">
        <v>0</v>
      </c>
      <c r="AN95">
        <v>0</v>
      </c>
      <c r="AO95">
        <v>0.000798480222820712</v>
      </c>
      <c r="AP95">
        <v>0.004743015501165501</v>
      </c>
      <c r="AQ95">
        <v>0.14896187723579707</v>
      </c>
      <c r="AR95">
        <v>0</v>
      </c>
      <c r="AS95">
        <v>1.9981066976668544</v>
      </c>
      <c r="AT95">
        <v>0</v>
      </c>
      <c r="AU95">
        <v>0</v>
      </c>
      <c r="AV95">
        <v>0.14896187723579707</v>
      </c>
      <c r="AW95">
        <v>1</v>
      </c>
      <c r="BB95" s="16" t="s">
        <v>14</v>
      </c>
      <c r="BC95" s="49">
        <v>92</v>
      </c>
      <c r="BD95" s="53">
        <v>89.59755832028252</v>
      </c>
      <c r="BE95" t="s">
        <v>46</v>
      </c>
      <c r="BF95" t="s">
        <v>46</v>
      </c>
      <c r="BG95" t="s">
        <v>46</v>
      </c>
      <c r="BH95" t="s">
        <v>39</v>
      </c>
    </row>
    <row r="96" spans="2:60" ht="13.5" thickBot="1">
      <c r="B96" t="s">
        <v>20</v>
      </c>
      <c r="C96">
        <v>3</v>
      </c>
      <c r="G96">
        <v>0</v>
      </c>
      <c r="H96">
        <v>0</v>
      </c>
      <c r="I96">
        <v>0</v>
      </c>
      <c r="J96">
        <v>0</v>
      </c>
      <c r="K96">
        <v>0</v>
      </c>
      <c r="L96">
        <v>0.0006861496774057558</v>
      </c>
      <c r="M96">
        <v>0</v>
      </c>
      <c r="N96">
        <v>0.005525209693217781</v>
      </c>
      <c r="O96">
        <v>0</v>
      </c>
      <c r="P96">
        <v>0</v>
      </c>
      <c r="Q96">
        <v>0</v>
      </c>
      <c r="R96">
        <v>0</v>
      </c>
      <c r="S96">
        <v>0</v>
      </c>
      <c r="T96">
        <v>0</v>
      </c>
      <c r="U96">
        <v>0</v>
      </c>
      <c r="V96">
        <v>0.006662848776944996</v>
      </c>
      <c r="W96">
        <v>0.012874208147568532</v>
      </c>
      <c r="X96" s="53">
        <v>3.1155583717115847</v>
      </c>
      <c r="Z96">
        <v>0</v>
      </c>
      <c r="AA96">
        <v>0</v>
      </c>
      <c r="AB96">
        <v>0</v>
      </c>
      <c r="AC96">
        <v>0</v>
      </c>
      <c r="AD96">
        <v>0</v>
      </c>
      <c r="AE96">
        <v>1.1246554034016737E-06</v>
      </c>
      <c r="AF96">
        <v>0</v>
      </c>
      <c r="AG96">
        <v>6.182210114341669E-05</v>
      </c>
      <c r="AH96">
        <v>0</v>
      </c>
      <c r="AI96">
        <v>0</v>
      </c>
      <c r="AJ96">
        <v>0</v>
      </c>
      <c r="AK96">
        <v>0</v>
      </c>
      <c r="AL96">
        <v>0</v>
      </c>
      <c r="AM96">
        <v>0</v>
      </c>
      <c r="AN96">
        <v>0</v>
      </c>
      <c r="AO96">
        <v>0.0005068995162637856</v>
      </c>
      <c r="AP96">
        <v>0.000569846272810604</v>
      </c>
      <c r="AQ96">
        <v>0.0042861457496290375</v>
      </c>
      <c r="AR96">
        <v>1</v>
      </c>
      <c r="AS96">
        <v>0.013353737272632773</v>
      </c>
      <c r="AT96">
        <v>3.1155583717115847</v>
      </c>
      <c r="AU96">
        <v>3</v>
      </c>
      <c r="AV96">
        <v>0</v>
      </c>
      <c r="AW96">
        <v>0</v>
      </c>
      <c r="BB96" s="12" t="s">
        <v>21</v>
      </c>
      <c r="BC96" s="49">
        <v>25</v>
      </c>
      <c r="BD96" s="53">
        <v>26.693248007209494</v>
      </c>
      <c r="BE96" t="s">
        <v>46</v>
      </c>
      <c r="BF96" t="s">
        <v>46</v>
      </c>
      <c r="BG96" t="s">
        <v>46</v>
      </c>
      <c r="BH96" t="s">
        <v>46</v>
      </c>
    </row>
    <row r="97" spans="2:49" ht="12.75">
      <c r="B97" t="s">
        <v>21</v>
      </c>
      <c r="C97" s="49">
        <v>25</v>
      </c>
      <c r="G97">
        <v>0</v>
      </c>
      <c r="H97">
        <v>0</v>
      </c>
      <c r="I97">
        <v>0</v>
      </c>
      <c r="J97">
        <v>0</v>
      </c>
      <c r="K97">
        <v>0</v>
      </c>
      <c r="L97">
        <v>0.005878741889530595</v>
      </c>
      <c r="M97">
        <v>0</v>
      </c>
      <c r="N97">
        <v>0.047338478383852675</v>
      </c>
      <c r="O97">
        <v>0</v>
      </c>
      <c r="P97">
        <v>0</v>
      </c>
      <c r="Q97">
        <v>0</v>
      </c>
      <c r="R97">
        <v>0</v>
      </c>
      <c r="S97">
        <v>0</v>
      </c>
      <c r="T97">
        <v>0</v>
      </c>
      <c r="U97">
        <v>0</v>
      </c>
      <c r="V97">
        <v>0.05708545744235844</v>
      </c>
      <c r="W97">
        <v>0.1103026777157417</v>
      </c>
      <c r="X97" s="53">
        <v>26.693248007209494</v>
      </c>
      <c r="Z97">
        <v>0</v>
      </c>
      <c r="AA97">
        <v>0</v>
      </c>
      <c r="AB97">
        <v>0</v>
      </c>
      <c r="AC97">
        <v>0</v>
      </c>
      <c r="AD97">
        <v>0</v>
      </c>
      <c r="AE97">
        <v>8.25563592711407E-05</v>
      </c>
      <c r="AF97">
        <v>0</v>
      </c>
      <c r="AG97">
        <v>0.004538107919506317</v>
      </c>
      <c r="AH97">
        <v>0</v>
      </c>
      <c r="AI97">
        <v>0</v>
      </c>
      <c r="AJ97">
        <v>0</v>
      </c>
      <c r="AK97">
        <v>0</v>
      </c>
      <c r="AL97">
        <v>0</v>
      </c>
      <c r="AM97">
        <v>0</v>
      </c>
      <c r="AN97">
        <v>0</v>
      </c>
      <c r="AO97">
        <v>0.03720942295076893</v>
      </c>
      <c r="AP97">
        <v>0.041830087229546384</v>
      </c>
      <c r="AQ97">
        <v>0.10740876543553486</v>
      </c>
      <c r="AR97">
        <v>0</v>
      </c>
      <c r="AS97">
        <v>2.867088813918923</v>
      </c>
      <c r="AT97">
        <v>0</v>
      </c>
      <c r="AU97">
        <v>0</v>
      </c>
      <c r="AV97">
        <v>0.10740876543553486</v>
      </c>
      <c r="AW97">
        <v>1</v>
      </c>
    </row>
    <row r="98" spans="3:49" ht="12.75">
      <c r="C98">
        <v>242</v>
      </c>
      <c r="D98">
        <v>0</v>
      </c>
      <c r="E98">
        <v>0</v>
      </c>
      <c r="F98">
        <v>0</v>
      </c>
      <c r="G98">
        <v>0</v>
      </c>
      <c r="H98">
        <v>0</v>
      </c>
      <c r="I98">
        <v>0</v>
      </c>
      <c r="J98">
        <v>0</v>
      </c>
      <c r="K98">
        <v>0</v>
      </c>
      <c r="L98">
        <v>0.4186183415649093</v>
      </c>
      <c r="M98">
        <v>0</v>
      </c>
      <c r="N98">
        <v>0.49380305084112447</v>
      </c>
      <c r="O98">
        <v>0</v>
      </c>
      <c r="P98">
        <v>0</v>
      </c>
      <c r="Q98">
        <v>0</v>
      </c>
      <c r="R98">
        <v>0</v>
      </c>
      <c r="S98">
        <v>0</v>
      </c>
      <c r="T98">
        <v>0</v>
      </c>
      <c r="U98">
        <v>0</v>
      </c>
      <c r="V98">
        <v>0.08757860759396632</v>
      </c>
      <c r="W98">
        <v>1</v>
      </c>
      <c r="X98">
        <v>242</v>
      </c>
      <c r="Z98">
        <v>0</v>
      </c>
      <c r="AA98">
        <v>0</v>
      </c>
      <c r="AB98">
        <v>0</v>
      </c>
      <c r="AC98">
        <v>0</v>
      </c>
      <c r="AD98">
        <v>0</v>
      </c>
      <c r="AE98">
        <v>0.18850770332118652</v>
      </c>
      <c r="AF98">
        <v>0</v>
      </c>
      <c r="AG98">
        <v>0.2223640719111251</v>
      </c>
      <c r="AH98">
        <v>0</v>
      </c>
      <c r="AI98">
        <v>0</v>
      </c>
      <c r="AJ98">
        <v>0</v>
      </c>
      <c r="AK98">
        <v>0</v>
      </c>
      <c r="AL98">
        <v>0</v>
      </c>
      <c r="AM98">
        <v>0</v>
      </c>
      <c r="AN98">
        <v>0</v>
      </c>
      <c r="AO98">
        <v>0.039437455406014864</v>
      </c>
      <c r="AP98">
        <v>0.45030923063832656</v>
      </c>
      <c r="AQ98">
        <v>44.65502250530809</v>
      </c>
      <c r="AR98">
        <v>10</v>
      </c>
      <c r="AT98">
        <v>15.023297767992023</v>
      </c>
      <c r="AU98">
        <v>18</v>
      </c>
      <c r="AV98">
        <v>3.251610580337569</v>
      </c>
      <c r="AW98">
        <v>6</v>
      </c>
    </row>
    <row r="99" spans="43:48" ht="12.75">
      <c r="AQ99" t="s">
        <v>38</v>
      </c>
      <c r="AU99">
        <v>0.5898010087318916</v>
      </c>
      <c r="AV99" s="41">
        <v>3.8414115890694607</v>
      </c>
    </row>
    <row r="100" spans="5:47" ht="12.75">
      <c r="E100" t="s">
        <v>106</v>
      </c>
      <c r="F100">
        <v>0</v>
      </c>
      <c r="AP100" t="s">
        <v>106</v>
      </c>
      <c r="AU100" t="s">
        <v>61</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Decision Research Center, Fullerton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H. Birnbaum</dc:creator>
  <cp:keywords/>
  <dc:description/>
  <cp:lastModifiedBy>Michael Birnbaum</cp:lastModifiedBy>
  <dcterms:created xsi:type="dcterms:W3CDTF">2005-02-23T01:29:02Z</dcterms:created>
  <dcterms:modified xsi:type="dcterms:W3CDTF">2005-07-14T06:12:11Z</dcterms:modified>
  <cp:category/>
  <cp:version/>
  <cp:contentType/>
  <cp:contentStatus/>
</cp:coreProperties>
</file>